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\Desktop\"/>
    </mc:Choice>
  </mc:AlternateContent>
  <bookViews>
    <workbookView xWindow="0" yWindow="0" windowWidth="25200" windowHeight="11595"/>
  </bookViews>
  <sheets>
    <sheet name="intro" sheetId="4" r:id="rId1"/>
    <sheet name="atom properties" sheetId="1" r:id="rId2"/>
    <sheet name="ion properties" sheetId="2" r:id="rId3"/>
    <sheet name="electron properties" sheetId="3" r:id="rId4"/>
    <sheet name="group B metals" sheetId="5" r:id="rId5"/>
  </sheets>
  <definedNames>
    <definedName name="_xlnm._FilterDatabase" localSheetId="1" hidden="1">'atom properties'!$C$25:$D$63</definedName>
    <definedName name="_xlnm._FilterDatabase" localSheetId="4" hidden="1">'group B metals'!$C$36:$C$55</definedName>
  </definedNames>
  <calcPr calcId="152511"/>
</workbook>
</file>

<file path=xl/calcChain.xml><?xml version="1.0" encoding="utf-8"?>
<calcChain xmlns="http://schemas.openxmlformats.org/spreadsheetml/2006/main">
  <c r="B3" i="5" l="1"/>
  <c r="E43" i="5"/>
  <c r="D43" i="5"/>
  <c r="D42" i="5"/>
  <c r="W27" i="5"/>
  <c r="W28" i="5"/>
  <c r="W29" i="5"/>
  <c r="W30" i="5"/>
  <c r="W31" i="5"/>
  <c r="W32" i="5"/>
  <c r="W33" i="5"/>
  <c r="W34" i="5"/>
  <c r="W35" i="5"/>
  <c r="W26" i="5"/>
  <c r="V27" i="5"/>
  <c r="V28" i="5"/>
  <c r="V29" i="5"/>
  <c r="V30" i="5"/>
  <c r="V31" i="5"/>
  <c r="V32" i="5"/>
  <c r="V33" i="5"/>
  <c r="V34" i="5"/>
  <c r="V35" i="5"/>
  <c r="V26" i="5"/>
  <c r="T27" i="5"/>
  <c r="T28" i="5"/>
  <c r="T29" i="5"/>
  <c r="T30" i="5"/>
  <c r="T31" i="5"/>
  <c r="T32" i="5"/>
  <c r="T33" i="5"/>
  <c r="T34" i="5"/>
  <c r="T35" i="5"/>
  <c r="T26" i="5"/>
  <c r="O27" i="5"/>
  <c r="O28" i="5"/>
  <c r="O29" i="5"/>
  <c r="O30" i="5"/>
  <c r="O31" i="5"/>
  <c r="O32" i="5"/>
  <c r="O33" i="5"/>
  <c r="O34" i="5"/>
  <c r="O35" i="5"/>
  <c r="O26" i="5"/>
  <c r="M27" i="5"/>
  <c r="M28" i="5"/>
  <c r="M29" i="5"/>
  <c r="M30" i="5"/>
  <c r="M31" i="5"/>
  <c r="M32" i="5"/>
  <c r="M33" i="5"/>
  <c r="M34" i="5"/>
  <c r="M35" i="5"/>
  <c r="M26" i="5"/>
  <c r="H27" i="5"/>
  <c r="H28" i="5"/>
  <c r="H29" i="5"/>
  <c r="H30" i="5"/>
  <c r="H31" i="5"/>
  <c r="H32" i="5"/>
  <c r="H33" i="5"/>
  <c r="H34" i="5"/>
  <c r="H35" i="5"/>
  <c r="H26" i="5"/>
  <c r="F27" i="5"/>
  <c r="F28" i="5"/>
  <c r="F29" i="5"/>
  <c r="F30" i="5"/>
  <c r="F31" i="5"/>
  <c r="F32" i="5"/>
  <c r="F33" i="5"/>
  <c r="F34" i="5"/>
  <c r="F35" i="5"/>
  <c r="F26" i="5"/>
  <c r="R27" i="5"/>
  <c r="R28" i="5"/>
  <c r="R29" i="5"/>
  <c r="R30" i="5"/>
  <c r="R31" i="5"/>
  <c r="R32" i="5"/>
  <c r="R33" i="5"/>
  <c r="R34" i="5"/>
  <c r="R35" i="5"/>
  <c r="R26" i="5"/>
  <c r="K27" i="5"/>
  <c r="K28" i="5"/>
  <c r="K29" i="5"/>
  <c r="K30" i="5"/>
  <c r="K31" i="5"/>
  <c r="K32" i="5"/>
  <c r="K33" i="5"/>
  <c r="K34" i="5"/>
  <c r="K35" i="5"/>
  <c r="K26" i="5"/>
  <c r="D27" i="5"/>
  <c r="D28" i="5"/>
  <c r="D29" i="5"/>
  <c r="D30" i="5"/>
  <c r="D31" i="5"/>
  <c r="D32" i="5"/>
  <c r="D33" i="5"/>
  <c r="D34" i="5"/>
  <c r="D35" i="5"/>
  <c r="D26" i="5"/>
  <c r="N5" i="5"/>
  <c r="M5" i="5"/>
  <c r="L5" i="5"/>
  <c r="A38" i="5"/>
  <c r="P38" i="5"/>
  <c r="I38" i="5"/>
  <c r="B38" i="5"/>
  <c r="M24" i="2"/>
  <c r="M19" i="2"/>
  <c r="L22" i="3"/>
  <c r="L21" i="3"/>
  <c r="J22" i="3"/>
  <c r="J21" i="3"/>
  <c r="G22" i="3"/>
  <c r="G21" i="3"/>
  <c r="E23" i="3"/>
  <c r="E22" i="3"/>
  <c r="E21" i="3"/>
  <c r="L16" i="3"/>
  <c r="L15" i="3"/>
  <c r="K13" i="3"/>
  <c r="K12" i="3"/>
  <c r="J10" i="3"/>
  <c r="J9" i="3"/>
  <c r="J8" i="3"/>
  <c r="J7" i="3"/>
  <c r="J6" i="3"/>
  <c r="J5" i="3"/>
  <c r="H16" i="3"/>
  <c r="H15" i="3"/>
  <c r="G13" i="3"/>
  <c r="G12" i="3"/>
  <c r="G11" i="3"/>
  <c r="G10" i="3"/>
  <c r="G9" i="3"/>
  <c r="G8" i="3"/>
  <c r="F6" i="3"/>
  <c r="F5" i="3"/>
  <c r="L18" i="2"/>
  <c r="L23" i="2"/>
  <c r="L22" i="2"/>
  <c r="L17" i="2"/>
  <c r="L21" i="2"/>
  <c r="L16" i="2"/>
  <c r="H11" i="2"/>
  <c r="H10" i="2"/>
  <c r="H9" i="2"/>
  <c r="E9" i="2"/>
  <c r="F9" i="2"/>
  <c r="E8" i="2"/>
  <c r="E7" i="2"/>
  <c r="E6" i="2"/>
  <c r="E5" i="2"/>
  <c r="F5" i="2"/>
  <c r="D4" i="1"/>
  <c r="G4" i="1"/>
  <c r="J29" i="1"/>
  <c r="J30" i="1"/>
  <c r="J33" i="1"/>
  <c r="J27" i="1"/>
  <c r="J54" i="1"/>
  <c r="J45" i="1"/>
  <c r="J44" i="1"/>
  <c r="J35" i="1"/>
  <c r="J32" i="1"/>
  <c r="J36" i="1"/>
  <c r="J26" i="1"/>
  <c r="F2" i="1"/>
  <c r="F3" i="1"/>
  <c r="N42" i="1"/>
  <c r="N48" i="1"/>
  <c r="N51" i="1"/>
  <c r="N54" i="1"/>
  <c r="N57" i="1"/>
  <c r="N60" i="1"/>
  <c r="N62" i="1"/>
  <c r="N56" i="1"/>
  <c r="N63" i="1"/>
  <c r="N50" i="1"/>
  <c r="N35" i="1"/>
  <c r="N43" i="1"/>
  <c r="N36" i="1"/>
  <c r="N37" i="1"/>
  <c r="N28" i="1"/>
  <c r="N44" i="1"/>
  <c r="N46" i="1"/>
  <c r="N47" i="1"/>
  <c r="N61" i="1"/>
  <c r="N26" i="1"/>
  <c r="N34" i="1"/>
  <c r="N29" i="1"/>
  <c r="N30" i="1"/>
  <c r="N33" i="1"/>
  <c r="N27" i="1"/>
  <c r="N45" i="1"/>
  <c r="N32" i="1"/>
  <c r="I4" i="1"/>
  <c r="L42" i="1"/>
  <c r="L48" i="1"/>
  <c r="L51" i="1"/>
  <c r="L54" i="1"/>
  <c r="L57" i="1"/>
  <c r="L60" i="1"/>
  <c r="L62" i="1"/>
  <c r="L56" i="1"/>
  <c r="L63" i="1"/>
  <c r="L50" i="1"/>
  <c r="L35" i="1"/>
  <c r="L43" i="1"/>
  <c r="L36" i="1"/>
  <c r="L37" i="1"/>
  <c r="L28" i="1"/>
  <c r="L44" i="1"/>
  <c r="L46" i="1"/>
  <c r="L47" i="1"/>
  <c r="L61" i="1"/>
  <c r="L26" i="1"/>
  <c r="L34" i="1"/>
  <c r="L29" i="1"/>
  <c r="L30" i="1"/>
  <c r="L33" i="1"/>
  <c r="L27" i="1"/>
  <c r="L45" i="1"/>
  <c r="L32" i="1"/>
  <c r="H4" i="1"/>
  <c r="J42" i="1"/>
  <c r="J48" i="1"/>
  <c r="J51" i="1"/>
  <c r="J57" i="1"/>
  <c r="J60" i="1"/>
  <c r="J62" i="1"/>
  <c r="J56" i="1"/>
  <c r="J63" i="1"/>
  <c r="J50" i="1"/>
  <c r="J43" i="1"/>
  <c r="J37" i="1"/>
  <c r="J28" i="1"/>
  <c r="J46" i="1"/>
  <c r="J47" i="1"/>
  <c r="J61" i="1"/>
  <c r="J34" i="1"/>
  <c r="H42" i="1"/>
  <c r="H48" i="1"/>
  <c r="H51" i="1"/>
  <c r="H54" i="1"/>
  <c r="H57" i="1"/>
  <c r="H60" i="1"/>
  <c r="H62" i="1"/>
  <c r="H56" i="1"/>
  <c r="H63" i="1"/>
  <c r="H50" i="1"/>
  <c r="H35" i="1"/>
  <c r="H43" i="1"/>
  <c r="H36" i="1"/>
  <c r="H37" i="1"/>
  <c r="H28" i="1"/>
  <c r="H44" i="1"/>
  <c r="H46" i="1"/>
  <c r="H47" i="1"/>
  <c r="H61" i="1"/>
  <c r="H26" i="1"/>
  <c r="H34" i="1"/>
  <c r="H29" i="1"/>
  <c r="H30" i="1"/>
  <c r="H33" i="1"/>
  <c r="H27" i="1"/>
  <c r="H45" i="1"/>
  <c r="H32" i="1"/>
  <c r="F4" i="1"/>
  <c r="F42" i="1"/>
  <c r="F48" i="1"/>
  <c r="F51" i="1"/>
  <c r="F54" i="1"/>
  <c r="F57" i="1"/>
  <c r="F60" i="1"/>
  <c r="F62" i="1"/>
  <c r="F56" i="1"/>
  <c r="F63" i="1"/>
  <c r="F50" i="1"/>
  <c r="F35" i="1"/>
  <c r="F43" i="1"/>
  <c r="F36" i="1"/>
  <c r="F37" i="1"/>
  <c r="F28" i="1"/>
  <c r="F44" i="1"/>
  <c r="F46" i="1"/>
  <c r="F47" i="1"/>
  <c r="F61" i="1"/>
  <c r="F26" i="1"/>
  <c r="F34" i="1"/>
  <c r="F29" i="1"/>
  <c r="F30" i="1"/>
  <c r="F33" i="1"/>
  <c r="F27" i="1"/>
  <c r="F45" i="1"/>
  <c r="F32" i="1"/>
  <c r="E4" i="1"/>
  <c r="L2" i="1"/>
  <c r="I9" i="2"/>
  <c r="F8" i="2"/>
  <c r="J49" i="1"/>
  <c r="J52" i="1"/>
  <c r="J53" i="1"/>
  <c r="J55" i="1"/>
  <c r="J58" i="1"/>
  <c r="J59" i="1"/>
  <c r="H49" i="1"/>
  <c r="H52" i="1"/>
  <c r="H53" i="1"/>
  <c r="H55" i="1"/>
  <c r="H58" i="1"/>
  <c r="H59" i="1"/>
  <c r="E2" i="1"/>
  <c r="N31" i="1"/>
  <c r="N38" i="1"/>
  <c r="N39" i="1"/>
  <c r="N40" i="1"/>
  <c r="N41" i="1"/>
  <c r="N49" i="1"/>
  <c r="N52" i="1"/>
  <c r="N53" i="1"/>
  <c r="N55" i="1"/>
  <c r="N58" i="1"/>
  <c r="N59" i="1"/>
  <c r="L59" i="1"/>
  <c r="L58" i="1"/>
  <c r="L55" i="1"/>
  <c r="L53" i="1"/>
  <c r="L52" i="1"/>
  <c r="L49" i="1"/>
  <c r="I10" i="2"/>
  <c r="I11" i="2"/>
  <c r="F6" i="2"/>
  <c r="F7" i="2"/>
  <c r="G9" i="1"/>
  <c r="G8" i="1"/>
  <c r="K27" i="1"/>
  <c r="L31" i="1"/>
  <c r="L38" i="1"/>
  <c r="L39" i="1"/>
  <c r="L40" i="1"/>
  <c r="L41" i="1"/>
  <c r="K26" i="1"/>
  <c r="J31" i="1"/>
  <c r="J38" i="1"/>
  <c r="J39" i="1"/>
  <c r="J40" i="1"/>
  <c r="J41" i="1"/>
  <c r="H31" i="1"/>
  <c r="H38" i="1"/>
  <c r="H39" i="1"/>
  <c r="H40" i="1"/>
  <c r="H41" i="1"/>
  <c r="F31" i="1"/>
  <c r="F38" i="1"/>
  <c r="F39" i="1"/>
  <c r="F40" i="1"/>
  <c r="F41" i="1"/>
  <c r="F49" i="1"/>
  <c r="F52" i="1"/>
  <c r="F53" i="1"/>
  <c r="F55" i="1"/>
  <c r="F58" i="1"/>
  <c r="F59" i="1"/>
</calcChain>
</file>

<file path=xl/comments1.xml><?xml version="1.0" encoding="utf-8"?>
<comments xmlns="http://schemas.openxmlformats.org/spreadsheetml/2006/main">
  <authors>
    <author>Scott Sinex</author>
  </authors>
  <commentList>
    <comment ref="L11" authorId="0" shapeId="0">
      <text>
        <r>
          <rPr>
            <sz val="11"/>
            <color indexed="17"/>
            <rFont val="Comic Sans MS"/>
            <family val="4"/>
          </rPr>
          <t xml:space="preserve">Any cell with the </t>
        </r>
        <r>
          <rPr>
            <sz val="11"/>
            <color indexed="10"/>
            <rFont val="Comic Sans MS"/>
            <family val="4"/>
          </rPr>
          <t>red</t>
        </r>
        <r>
          <rPr>
            <sz val="11"/>
            <color indexed="17"/>
            <rFont val="Comic Sans MS"/>
            <family val="4"/>
          </rPr>
          <t xml:space="preserve"> triangle in the upper right corner has information in it.
</t>
        </r>
      </text>
    </comment>
  </commentList>
</comments>
</file>

<file path=xl/comments2.xml><?xml version="1.0" encoding="utf-8"?>
<comments xmlns="http://schemas.openxmlformats.org/spreadsheetml/2006/main">
  <authors>
    <author>Scott Sinex</author>
  </authors>
  <commentList>
    <comment ref="J2" authorId="0" shapeId="0">
      <text>
        <r>
          <rPr>
            <sz val="11"/>
            <color indexed="17"/>
            <rFont val="Comic Sans MS"/>
            <family val="4"/>
          </rPr>
          <t xml:space="preserve">This is the blue box on the graph that will identify the element on the plots.  </t>
        </r>
        <r>
          <rPr>
            <b/>
            <sz val="11"/>
            <color indexed="17"/>
            <rFont val="Comic Sans MS"/>
            <family val="4"/>
          </rPr>
          <t>Beware when you use the autofilters the tracer point is still using the complete data set!</t>
        </r>
      </text>
    </comment>
    <comment ref="L4" authorId="0" shapeId="0">
      <text>
        <r>
          <rPr>
            <sz val="11"/>
            <color indexed="17"/>
            <rFont val="Comic Sans MS"/>
            <family val="4"/>
          </rPr>
          <t xml:space="preserve">Using the option buttons, select the data you want to plot.
</t>
        </r>
      </text>
    </comment>
    <comment ref="E24" authorId="0" shapeId="0">
      <text>
        <r>
          <rPr>
            <sz val="11"/>
            <color indexed="17"/>
            <rFont val="Comic Sans MS"/>
            <family val="4"/>
          </rPr>
          <t>The two</t>
        </r>
        <r>
          <rPr>
            <sz val="11"/>
            <color indexed="10"/>
            <rFont val="Comic Sans MS"/>
            <family val="4"/>
          </rPr>
          <t xml:space="preserve"> red</t>
        </r>
        <r>
          <rPr>
            <sz val="11"/>
            <color indexed="17"/>
            <rFont val="Comic Sans MS"/>
            <family val="4"/>
          </rPr>
          <t xml:space="preserve"> arrow heads point to the autofilters.  These allow you to filter the data to look at just a selected period or a group on the periodic table.  Click on the </t>
        </r>
        <r>
          <rPr>
            <sz val="11"/>
            <color indexed="8"/>
            <rFont val="Comic Sans MS"/>
            <family val="4"/>
          </rPr>
          <t>black</t>
        </r>
        <r>
          <rPr>
            <sz val="11"/>
            <color indexed="17"/>
            <rFont val="Comic Sans MS"/>
            <family val="4"/>
          </rPr>
          <t xml:space="preserve"> arrow to get a dropdown menu (select ALL to get the complete data set plotted).
</t>
        </r>
      </text>
    </comment>
  </commentList>
</comments>
</file>

<file path=xl/comments3.xml><?xml version="1.0" encoding="utf-8"?>
<comments xmlns="http://schemas.openxmlformats.org/spreadsheetml/2006/main">
  <authors>
    <author>Scott Sinex</author>
  </authors>
  <commentList>
    <comment ref="A4" authorId="0" shapeId="0">
      <text>
        <r>
          <rPr>
            <sz val="11"/>
            <color indexed="17"/>
            <rFont val="Comic Sans MS"/>
            <family val="4"/>
          </rPr>
          <t xml:space="preserve">for the third period elements
</t>
        </r>
      </text>
    </comment>
  </commentList>
</comments>
</file>

<file path=xl/comments4.xml><?xml version="1.0" encoding="utf-8"?>
<comments xmlns="http://schemas.openxmlformats.org/spreadsheetml/2006/main">
  <authors>
    <author>Scott Sinex</author>
  </authors>
  <commentList>
    <comment ref="C3" authorId="0" shapeId="0">
      <text>
        <r>
          <rPr>
            <sz val="11"/>
            <color indexed="17"/>
            <rFont val="Comic Sans MS"/>
            <family val="4"/>
          </rPr>
          <t xml:space="preserve">in units of MJ/mole
</t>
        </r>
      </text>
    </comment>
  </commentList>
</comments>
</file>

<file path=xl/comments5.xml><?xml version="1.0" encoding="utf-8"?>
<comments xmlns="http://schemas.openxmlformats.org/spreadsheetml/2006/main">
  <authors>
    <author>Scott Sinex</author>
  </authors>
  <commentList>
    <comment ref="M22" authorId="0" shapeId="0">
      <text>
        <r>
          <rPr>
            <sz val="11"/>
            <color indexed="17"/>
            <rFont val="Comic Sans MS"/>
            <family val="4"/>
          </rPr>
          <t xml:space="preserve">Resistivity is the tendency not to conduct.  The higher the resistivity the lower the electron mobility.
</t>
        </r>
      </text>
    </comment>
  </commentList>
</comments>
</file>

<file path=xl/sharedStrings.xml><?xml version="1.0" encoding="utf-8"?>
<sst xmlns="http://schemas.openxmlformats.org/spreadsheetml/2006/main" count="257" uniqueCount="168">
  <si>
    <t>Atomic Number</t>
  </si>
  <si>
    <t>Atomic Radius (pm)</t>
  </si>
  <si>
    <t>First IE (MJ/mol)</t>
  </si>
  <si>
    <t>Second IE (MJ/mol)</t>
  </si>
  <si>
    <t>Electron Affinity (MJ/mol)</t>
  </si>
  <si>
    <t>H</t>
  </si>
  <si>
    <t>He</t>
  </si>
  <si>
    <t>Li</t>
  </si>
  <si>
    <t>Be</t>
  </si>
  <si>
    <t>B</t>
  </si>
  <si>
    <t>C</t>
  </si>
  <si>
    <t>N</t>
  </si>
  <si>
    <t>O</t>
  </si>
  <si>
    <t>F</t>
  </si>
  <si>
    <t>Ne</t>
  </si>
  <si>
    <t>Na</t>
  </si>
  <si>
    <t>Mg</t>
  </si>
  <si>
    <t>Al</t>
  </si>
  <si>
    <t>Si</t>
  </si>
  <si>
    <t>P</t>
  </si>
  <si>
    <t>S</t>
  </si>
  <si>
    <t>Cl</t>
  </si>
  <si>
    <t>Ar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</si>
  <si>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</si>
  <si>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</si>
  <si>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</si>
  <si>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</si>
  <si>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</si>
  <si>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</si>
  <si>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</si>
  <si>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</si>
  <si>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</si>
  <si>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</si>
  <si>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</si>
  <si>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</si>
  <si>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</si>
  <si>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</si>
  <si>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</si>
  <si>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</si>
  <si>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</si>
  <si>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</si>
  <si>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Period</t>
  </si>
  <si>
    <t>Group</t>
  </si>
  <si>
    <t>y-scale</t>
  </si>
  <si>
    <t>Interactive Periodic Trends</t>
  </si>
  <si>
    <t>Symbol</t>
  </si>
  <si>
    <t>What do you want to plot?</t>
  </si>
  <si>
    <t>Group A</t>
  </si>
  <si>
    <t>Comparing the Radius of Cations and Anions with Neutral Atoms</t>
  </si>
  <si>
    <t>Electronegativity</t>
  </si>
  <si>
    <t xml:space="preserve">set both autofilters to all </t>
  </si>
  <si>
    <t>Sinex 2006</t>
  </si>
  <si>
    <t>click here</t>
  </si>
  <si>
    <t>Atomic radius (using the covalent radius), first and second ionization energies from Webelements -</t>
  </si>
  <si>
    <t>Rb</t>
  </si>
  <si>
    <t>Sr</t>
  </si>
  <si>
    <t>atomic</t>
  </si>
  <si>
    <t>radius</t>
  </si>
  <si>
    <t>Element</t>
  </si>
  <si>
    <t>cation</t>
  </si>
  <si>
    <t>anion</t>
  </si>
  <si>
    <t>add to the plot:</t>
  </si>
  <si>
    <r>
      <t>Na</t>
    </r>
    <r>
      <rPr>
        <vertAlign val="superscript"/>
        <sz val="10"/>
        <rFont val="Comic Sans MS"/>
        <family val="4"/>
      </rPr>
      <t>+</t>
    </r>
  </si>
  <si>
    <r>
      <t>Mg</t>
    </r>
    <r>
      <rPr>
        <vertAlign val="superscript"/>
        <sz val="10"/>
        <rFont val="Comic Sans MS"/>
        <family val="4"/>
      </rPr>
      <t>+2</t>
    </r>
  </si>
  <si>
    <t>ionic</t>
  </si>
  <si>
    <r>
      <t>Si</t>
    </r>
    <r>
      <rPr>
        <vertAlign val="superscript"/>
        <sz val="10"/>
        <rFont val="Comic Sans MS"/>
        <family val="4"/>
      </rPr>
      <t>+4</t>
    </r>
  </si>
  <si>
    <r>
      <t>P</t>
    </r>
    <r>
      <rPr>
        <vertAlign val="superscript"/>
        <sz val="10"/>
        <rFont val="Comic Sans MS"/>
        <family val="4"/>
      </rPr>
      <t>+5</t>
    </r>
  </si>
  <si>
    <r>
      <t>Al</t>
    </r>
    <r>
      <rPr>
        <vertAlign val="superscript"/>
        <sz val="10"/>
        <rFont val="Comic Sans MS"/>
        <family val="4"/>
      </rPr>
      <t>+3</t>
    </r>
  </si>
  <si>
    <r>
      <t>P</t>
    </r>
    <r>
      <rPr>
        <vertAlign val="superscript"/>
        <sz val="10"/>
        <rFont val="Comic Sans MS"/>
        <family val="4"/>
      </rPr>
      <t>-3</t>
    </r>
  </si>
  <si>
    <r>
      <t>S</t>
    </r>
    <r>
      <rPr>
        <vertAlign val="superscript"/>
        <sz val="10"/>
        <rFont val="Comic Sans MS"/>
        <family val="4"/>
      </rPr>
      <t>-2</t>
    </r>
  </si>
  <si>
    <r>
      <t>Cl</t>
    </r>
    <r>
      <rPr>
        <vertAlign val="superscript"/>
        <sz val="10"/>
        <rFont val="Comic Sans MS"/>
        <family val="4"/>
      </rPr>
      <t>-1</t>
    </r>
  </si>
  <si>
    <t>Atomic No.</t>
  </si>
  <si>
    <t>Tracer Point</t>
  </si>
  <si>
    <r>
      <t xml:space="preserve">Electron Affinity and Electronegativity from Miessler &amp; Tarr, </t>
    </r>
    <r>
      <rPr>
        <i/>
        <sz val="10"/>
        <rFont val="Comic Sans MS"/>
        <family val="4"/>
      </rPr>
      <t>Inorganic Chemistry</t>
    </r>
    <r>
      <rPr>
        <sz val="10"/>
        <rFont val="Comic Sans MS"/>
        <family val="4"/>
      </rPr>
      <t>, 2nd ed. (1999)</t>
    </r>
  </si>
  <si>
    <t>Multiple Ionization Energies for Calcium</t>
  </si>
  <si>
    <t>IE</t>
  </si>
  <si>
    <t>1s</t>
  </si>
  <si>
    <t>2s</t>
  </si>
  <si>
    <t>2p</t>
  </si>
  <si>
    <t>3s</t>
  </si>
  <si>
    <t>3p</t>
  </si>
  <si>
    <t>4s</t>
  </si>
  <si>
    <r>
      <t>number e</t>
    </r>
    <r>
      <rPr>
        <vertAlign val="superscript"/>
        <sz val="10"/>
        <rFont val="Comic Sans MS"/>
        <family val="4"/>
      </rPr>
      <t>-</t>
    </r>
    <r>
      <rPr>
        <sz val="10"/>
        <rFont val="Comic Sans MS"/>
        <family val="4"/>
      </rPr>
      <t xml:space="preserve"> removed</t>
    </r>
  </si>
  <si>
    <r>
      <t>4s</t>
    </r>
    <r>
      <rPr>
        <vertAlign val="superscript"/>
        <sz val="10"/>
        <color indexed="10"/>
        <rFont val="Comic Sans MS"/>
        <family val="4"/>
      </rPr>
      <t>2</t>
    </r>
  </si>
  <si>
    <r>
      <t>4s</t>
    </r>
    <r>
      <rPr>
        <vertAlign val="superscript"/>
        <sz val="10"/>
        <color indexed="10"/>
        <rFont val="Comic Sans MS"/>
        <family val="4"/>
      </rPr>
      <t>1</t>
    </r>
  </si>
  <si>
    <r>
      <t>3p</t>
    </r>
    <r>
      <rPr>
        <vertAlign val="superscript"/>
        <sz val="10"/>
        <color indexed="12"/>
        <rFont val="Comic Sans MS"/>
        <family val="4"/>
      </rPr>
      <t>6</t>
    </r>
  </si>
  <si>
    <r>
      <t>3p</t>
    </r>
    <r>
      <rPr>
        <vertAlign val="superscript"/>
        <sz val="10"/>
        <color indexed="12"/>
        <rFont val="Comic Sans MS"/>
        <family val="4"/>
      </rPr>
      <t>5</t>
    </r>
  </si>
  <si>
    <r>
      <t>3p</t>
    </r>
    <r>
      <rPr>
        <vertAlign val="superscript"/>
        <sz val="10"/>
        <color indexed="12"/>
        <rFont val="Comic Sans MS"/>
        <family val="4"/>
      </rPr>
      <t>4</t>
    </r>
  </si>
  <si>
    <r>
      <t>3p</t>
    </r>
    <r>
      <rPr>
        <vertAlign val="superscript"/>
        <sz val="10"/>
        <color indexed="12"/>
        <rFont val="Comic Sans MS"/>
        <family val="4"/>
      </rPr>
      <t>3</t>
    </r>
  </si>
  <si>
    <r>
      <t>3p</t>
    </r>
    <r>
      <rPr>
        <vertAlign val="superscript"/>
        <sz val="10"/>
        <color indexed="12"/>
        <rFont val="Comic Sans MS"/>
        <family val="4"/>
      </rPr>
      <t>2</t>
    </r>
  </si>
  <si>
    <r>
      <t>3p</t>
    </r>
    <r>
      <rPr>
        <vertAlign val="superscript"/>
        <sz val="10"/>
        <color indexed="12"/>
        <rFont val="Comic Sans MS"/>
        <family val="4"/>
      </rPr>
      <t>1</t>
    </r>
  </si>
  <si>
    <r>
      <t>3s</t>
    </r>
    <r>
      <rPr>
        <vertAlign val="superscript"/>
        <sz val="10"/>
        <color indexed="12"/>
        <rFont val="Comic Sans MS"/>
        <family val="4"/>
      </rPr>
      <t>2</t>
    </r>
  </si>
  <si>
    <r>
      <t>3s</t>
    </r>
    <r>
      <rPr>
        <vertAlign val="superscript"/>
        <sz val="10"/>
        <color indexed="12"/>
        <rFont val="Comic Sans MS"/>
        <family val="4"/>
      </rPr>
      <t>1</t>
    </r>
  </si>
  <si>
    <r>
      <t>2p</t>
    </r>
    <r>
      <rPr>
        <vertAlign val="superscript"/>
        <sz val="10"/>
        <color indexed="16"/>
        <rFont val="Comic Sans MS"/>
        <family val="4"/>
      </rPr>
      <t>6</t>
    </r>
  </si>
  <si>
    <r>
      <t>2p</t>
    </r>
    <r>
      <rPr>
        <vertAlign val="superscript"/>
        <sz val="10"/>
        <color indexed="16"/>
        <rFont val="Comic Sans MS"/>
        <family val="4"/>
      </rPr>
      <t>5</t>
    </r>
  </si>
  <si>
    <r>
      <t>2p</t>
    </r>
    <r>
      <rPr>
        <vertAlign val="superscript"/>
        <sz val="10"/>
        <color indexed="16"/>
        <rFont val="Comic Sans MS"/>
        <family val="4"/>
      </rPr>
      <t>4</t>
    </r>
  </si>
  <si>
    <r>
      <t>2p</t>
    </r>
    <r>
      <rPr>
        <vertAlign val="superscript"/>
        <sz val="10"/>
        <color indexed="16"/>
        <rFont val="Comic Sans MS"/>
        <family val="4"/>
      </rPr>
      <t>3</t>
    </r>
  </si>
  <si>
    <r>
      <t>2p</t>
    </r>
    <r>
      <rPr>
        <vertAlign val="superscript"/>
        <sz val="10"/>
        <color indexed="16"/>
        <rFont val="Comic Sans MS"/>
        <family val="4"/>
      </rPr>
      <t>2</t>
    </r>
  </si>
  <si>
    <r>
      <t>2p</t>
    </r>
    <r>
      <rPr>
        <vertAlign val="superscript"/>
        <sz val="10"/>
        <color indexed="16"/>
        <rFont val="Comic Sans MS"/>
        <family val="4"/>
      </rPr>
      <t>1</t>
    </r>
  </si>
  <si>
    <r>
      <t>2s</t>
    </r>
    <r>
      <rPr>
        <vertAlign val="superscript"/>
        <sz val="10"/>
        <color indexed="16"/>
        <rFont val="Comic Sans MS"/>
        <family val="4"/>
      </rPr>
      <t>2</t>
    </r>
  </si>
  <si>
    <r>
      <t>2s</t>
    </r>
    <r>
      <rPr>
        <vertAlign val="superscript"/>
        <sz val="10"/>
        <color indexed="16"/>
        <rFont val="Comic Sans MS"/>
        <family val="4"/>
      </rPr>
      <t>1</t>
    </r>
  </si>
  <si>
    <r>
      <t>1s</t>
    </r>
    <r>
      <rPr>
        <vertAlign val="superscript"/>
        <sz val="10"/>
        <color indexed="17"/>
        <rFont val="Comic Sans MS"/>
        <family val="4"/>
      </rPr>
      <t>2</t>
    </r>
  </si>
  <si>
    <r>
      <t>1s</t>
    </r>
    <r>
      <rPr>
        <vertAlign val="superscript"/>
        <sz val="10"/>
        <color indexed="17"/>
        <rFont val="Comic Sans MS"/>
        <family val="4"/>
      </rPr>
      <t>1</t>
    </r>
  </si>
  <si>
    <t>Logarithmic Plot of Ionization Energy as a function of Number of Electrons Removed</t>
  </si>
  <si>
    <t>click on the tabs to navigate</t>
  </si>
  <si>
    <t>http://periodic.lanl.gov/default.htm</t>
  </si>
  <si>
    <t>Explore properties across</t>
  </si>
  <si>
    <t>periods and down groups.</t>
  </si>
  <si>
    <t>Examine atoms and ions.</t>
  </si>
  <si>
    <t>All done by interactive</t>
  </si>
  <si>
    <t>graphing using a variety</t>
  </si>
  <si>
    <t>of features available in</t>
  </si>
  <si>
    <t>Excel.</t>
  </si>
  <si>
    <t xml:space="preserve">    "How to" develop Excelets - </t>
  </si>
  <si>
    <t>d electrons</t>
  </si>
  <si>
    <t>Y</t>
  </si>
  <si>
    <t>Zr</t>
  </si>
  <si>
    <t>Nb</t>
  </si>
  <si>
    <t>Mo</t>
  </si>
  <si>
    <t>W</t>
  </si>
  <si>
    <t>Tc</t>
  </si>
  <si>
    <t>Ru</t>
  </si>
  <si>
    <t>Rh</t>
  </si>
  <si>
    <t>Pd</t>
  </si>
  <si>
    <t>Ag</t>
  </si>
  <si>
    <t>Cd</t>
  </si>
  <si>
    <t>La</t>
  </si>
  <si>
    <t>Hf</t>
  </si>
  <si>
    <t>Ta</t>
  </si>
  <si>
    <t>Re</t>
  </si>
  <si>
    <t>Os</t>
  </si>
  <si>
    <t>Ir</t>
  </si>
  <si>
    <t>Pt</t>
  </si>
  <si>
    <t>Au</t>
  </si>
  <si>
    <t>Hg</t>
  </si>
  <si>
    <t>Metal</t>
  </si>
  <si>
    <t>MP (K)</t>
  </si>
  <si>
    <t>Density</t>
  </si>
  <si>
    <t>Resistivity</t>
  </si>
  <si>
    <t>Period 4</t>
  </si>
  <si>
    <t>Period 5</t>
  </si>
  <si>
    <t>Period 6</t>
  </si>
  <si>
    <t>Property Plotted</t>
  </si>
  <si>
    <t>Period(s) to plot</t>
  </si>
  <si>
    <t>tracer</t>
  </si>
  <si>
    <t>Transition Metals or Group B Elements Behavior</t>
  </si>
  <si>
    <t>y-scale:</t>
  </si>
  <si>
    <t>no. of d</t>
  </si>
  <si>
    <t>electrons</t>
  </si>
  <si>
    <t>point</t>
  </si>
  <si>
    <r>
      <t>ionic radii from Heslop &amp; Jones,</t>
    </r>
    <r>
      <rPr>
        <i/>
        <sz val="10"/>
        <rFont val="Comic Sans MS"/>
        <family val="4"/>
      </rPr>
      <t xml:space="preserve"> Inorganic Chemistry</t>
    </r>
    <r>
      <rPr>
        <sz val="10"/>
        <rFont val="Comic Sans MS"/>
        <family val="4"/>
      </rPr>
      <t xml:space="preserve"> (1976)</t>
    </r>
  </si>
  <si>
    <r>
      <t xml:space="preserve">Huheey, </t>
    </r>
    <r>
      <rPr>
        <i/>
        <sz val="10"/>
        <rFont val="Comic Sans MS"/>
        <family val="4"/>
      </rPr>
      <t xml:space="preserve">Inorganic Chemistry </t>
    </r>
    <r>
      <rPr>
        <sz val="10"/>
        <rFont val="Comic Sans MS"/>
        <family val="4"/>
      </rPr>
      <t>(1973)</t>
    </r>
  </si>
  <si>
    <r>
      <t xml:space="preserve">data from Shultz, </t>
    </r>
    <r>
      <rPr>
        <i/>
        <sz val="10"/>
        <rFont val="Comic Sans MS"/>
        <family val="4"/>
      </rPr>
      <t>Chemistry for Engineers (</t>
    </r>
    <r>
      <rPr>
        <sz val="10"/>
        <rFont val="Comic Sans MS"/>
        <family val="4"/>
      </rPr>
      <t>2007)</t>
    </r>
  </si>
  <si>
    <t>autofilters</t>
  </si>
  <si>
    <t>select a group using the autofilters</t>
  </si>
  <si>
    <t xml:space="preserve">   Need a printable periodic</t>
  </si>
  <si>
    <t xml:space="preserve">   table -</t>
  </si>
  <si>
    <t xml:space="preserve">   </t>
  </si>
  <si>
    <t>Place your cursor in</t>
  </si>
  <si>
    <t>the yellow box.</t>
  </si>
  <si>
    <t xml:space="preserve">   Interactive Periodic Trends</t>
  </si>
  <si>
    <t xml:space="preserve">   A Graphical Experience</t>
  </si>
  <si>
    <t>(click on the check boxes)</t>
  </si>
  <si>
    <t xml:space="preserve">   (click on the check boxes)</t>
  </si>
  <si>
    <t xml:space="preserve">   Plot the number of</t>
  </si>
  <si>
    <t xml:space="preserve">   electrons removed   </t>
  </si>
  <si>
    <t>define</t>
  </si>
  <si>
    <t>Periodic Table on Wikipedia?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</si>
</sst>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38" x14ac:knownFonts="1">
    <font>
      <sz val="10"/>
      <name val="Arial"/>
    </font>
    <font>
      <sz val="8"/>
      <name val="Tahoma"/>
      <family val="2"/>
    </font>
    <font>
      <sz val="10"/>
      <name val="Comic Sans MS"/>
      <family val="4"/>
    </font>
    <font>
      <sz val="10"/>
      <color indexed="20"/>
      <name val="Comic Sans MS"/>
      <family val="4"/>
    </font>
    <font>
      <sz val="12"/>
      <color indexed="10"/>
      <name val="Comic Sans MS"/>
      <family val="4"/>
    </font>
    <font>
      <b/>
      <sz val="11"/>
      <color indexed="12"/>
      <name val="Comic Sans MS"/>
      <family val="4"/>
    </font>
    <font>
      <u/>
      <sz val="10"/>
      <color indexed="10"/>
      <name val="Comic Sans MS"/>
      <family val="4"/>
    </font>
    <font>
      <sz val="8"/>
      <name val="Arial"/>
      <family val="2"/>
    </font>
    <font>
      <b/>
      <sz val="11"/>
      <color indexed="21"/>
      <name val="Comic Sans MS"/>
      <family val="4"/>
    </font>
    <font>
      <sz val="10"/>
      <color indexed="9"/>
      <name val="Comic Sans MS"/>
      <family val="4"/>
    </font>
    <font>
      <sz val="10"/>
      <color indexed="10"/>
      <name val="Comic Sans MS"/>
      <family val="4"/>
    </font>
    <font>
      <i/>
      <sz val="10"/>
      <name val="Comic Sans MS"/>
      <family val="4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1"/>
      <color indexed="17"/>
      <name val="Comic Sans MS"/>
      <family val="4"/>
    </font>
    <font>
      <sz val="10"/>
      <color indexed="18"/>
      <name val="Comic Sans MS"/>
      <family val="4"/>
    </font>
    <font>
      <sz val="10"/>
      <color indexed="10"/>
      <name val="Arial"/>
      <family val="2"/>
    </font>
    <font>
      <sz val="10"/>
      <color indexed="17"/>
      <name val="Comic Sans MS"/>
      <family val="4"/>
    </font>
    <font>
      <u/>
      <sz val="10"/>
      <color indexed="20"/>
      <name val="Comic Sans MS"/>
      <family val="4"/>
    </font>
    <font>
      <vertAlign val="superscript"/>
      <sz val="10"/>
      <name val="Comic Sans MS"/>
      <family val="4"/>
    </font>
    <font>
      <u/>
      <sz val="10"/>
      <color indexed="12"/>
      <name val="Comic Sans MS"/>
      <family val="4"/>
    </font>
    <font>
      <sz val="10"/>
      <color indexed="12"/>
      <name val="Comic Sans MS"/>
      <family val="4"/>
    </font>
    <font>
      <b/>
      <sz val="11"/>
      <color indexed="17"/>
      <name val="Comic Sans MS"/>
      <family val="4"/>
    </font>
    <font>
      <b/>
      <sz val="10"/>
      <color indexed="12"/>
      <name val="Comic Sans MS"/>
      <family val="4"/>
    </font>
    <font>
      <vertAlign val="superscript"/>
      <sz val="10"/>
      <color indexed="10"/>
      <name val="Comic Sans MS"/>
      <family val="4"/>
    </font>
    <font>
      <vertAlign val="superscript"/>
      <sz val="10"/>
      <color indexed="12"/>
      <name val="Comic Sans MS"/>
      <family val="4"/>
    </font>
    <font>
      <sz val="10"/>
      <color indexed="16"/>
      <name val="Comic Sans MS"/>
      <family val="4"/>
    </font>
    <font>
      <vertAlign val="superscript"/>
      <sz val="10"/>
      <color indexed="16"/>
      <name val="Comic Sans MS"/>
      <family val="4"/>
    </font>
    <font>
      <vertAlign val="superscript"/>
      <sz val="10"/>
      <color indexed="17"/>
      <name val="Comic Sans MS"/>
      <family val="4"/>
    </font>
    <font>
      <b/>
      <sz val="16"/>
      <color indexed="12"/>
      <name val="Comic Sans MS"/>
      <family val="4"/>
    </font>
    <font>
      <b/>
      <sz val="10"/>
      <color indexed="60"/>
      <name val="Comic Sans MS"/>
      <family val="4"/>
    </font>
    <font>
      <sz val="12"/>
      <color indexed="12"/>
      <name val="Comic Sans MS"/>
      <family val="4"/>
    </font>
    <font>
      <b/>
      <sz val="11"/>
      <color indexed="19"/>
      <name val="Comic Sans MS"/>
      <family val="4"/>
    </font>
    <font>
      <u/>
      <sz val="10"/>
      <color indexed="61"/>
      <name val="Comic Sans MS"/>
      <family val="4"/>
    </font>
    <font>
      <b/>
      <sz val="10"/>
      <color indexed="53"/>
      <name val="Comic Sans MS"/>
      <family val="4"/>
    </font>
    <font>
      <u/>
      <sz val="10"/>
      <color indexed="62"/>
      <name val="Comic Sans MS"/>
      <family val="4"/>
    </font>
    <font>
      <sz val="11"/>
      <color indexed="10"/>
      <name val="Comic Sans MS"/>
      <family val="4"/>
    </font>
    <font>
      <sz val="11"/>
      <color indexed="8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0" applyFont="1"/>
    <xf numFmtId="172" fontId="2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quotePrefix="1" applyFont="1"/>
    <xf numFmtId="172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172" fontId="2" fillId="0" borderId="1" xfId="0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172" fontId="9" fillId="0" borderId="0" xfId="0" applyNumberFormat="1" applyFont="1"/>
    <xf numFmtId="0" fontId="9" fillId="0" borderId="0" xfId="0" applyFont="1"/>
    <xf numFmtId="0" fontId="10" fillId="0" borderId="0" xfId="0" applyFont="1"/>
    <xf numFmtId="172" fontId="12" fillId="0" borderId="0" xfId="1" applyNumberFormat="1" applyAlignment="1" applyProtection="1"/>
    <xf numFmtId="2" fontId="0" fillId="0" borderId="0" xfId="0" applyNumberFormat="1" applyAlignment="1">
      <alignment horizontal="center"/>
    </xf>
    <xf numFmtId="172" fontId="12" fillId="0" borderId="0" xfId="1" applyNumberFormat="1" applyAlignment="1" applyProtection="1">
      <alignment horizontal="left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2" fontId="2" fillId="0" borderId="1" xfId="0" applyNumberFormat="1" applyFont="1" applyBorder="1" applyAlignment="1">
      <alignment horizontal="center"/>
    </xf>
    <xf numFmtId="172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/>
    <xf numFmtId="0" fontId="20" fillId="0" borderId="0" xfId="0" applyFont="1" applyBorder="1"/>
    <xf numFmtId="0" fontId="26" fillId="0" borderId="0" xfId="0" applyFont="1"/>
    <xf numFmtId="0" fontId="26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2" fillId="0" borderId="0" xfId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/>
    <xf numFmtId="0" fontId="2" fillId="2" borderId="5" xfId="0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2" fillId="0" borderId="4" xfId="0" applyFont="1" applyBorder="1" applyAlignment="1">
      <alignment horizontal="right"/>
    </xf>
    <xf numFmtId="0" fontId="35" fillId="0" borderId="0" xfId="0" applyFont="1" applyAlignment="1">
      <alignment horizontal="center"/>
    </xf>
    <xf numFmtId="0" fontId="2" fillId="3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2">
    <cellStyle name="Collegamento ipertestuale" xfId="1" builtinId="8"/>
    <cellStyle name="Normale" xfId="0" builtinId="0"/>
  </cellStyles>
  <dxfs count="2"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6343618386708"/>
          <c:y val="6.8010159214321297E-2"/>
          <c:w val="0.74919672961208306"/>
          <c:h val="0.7204039087146626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'atom properties'!$B$26:$B$63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'atom properties'!$F$26:$F$63</c:f>
              <c:numCache>
                <c:formatCode>General</c:formatCode>
                <c:ptCount val="38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  <c:pt idx="7">
                  <c:v>-10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-10</c:v>
                </c:pt>
                <c:pt idx="22">
                  <c:v>-10</c:v>
                </c:pt>
                <c:pt idx="23">
                  <c:v>-10</c:v>
                </c:pt>
                <c:pt idx="24">
                  <c:v>-10</c:v>
                </c:pt>
                <c:pt idx="25">
                  <c:v>-10</c:v>
                </c:pt>
                <c:pt idx="26">
                  <c:v>-10</c:v>
                </c:pt>
                <c:pt idx="27">
                  <c:v>-10</c:v>
                </c:pt>
                <c:pt idx="28">
                  <c:v>-10</c:v>
                </c:pt>
                <c:pt idx="29">
                  <c:v>-10</c:v>
                </c:pt>
                <c:pt idx="30">
                  <c:v>-10</c:v>
                </c:pt>
                <c:pt idx="31">
                  <c:v>-10</c:v>
                </c:pt>
                <c:pt idx="32">
                  <c:v>-10</c:v>
                </c:pt>
                <c:pt idx="33">
                  <c:v>-10</c:v>
                </c:pt>
                <c:pt idx="34">
                  <c:v>-10</c:v>
                </c:pt>
                <c:pt idx="35">
                  <c:v>-10</c:v>
                </c:pt>
                <c:pt idx="36">
                  <c:v>-10</c:v>
                </c:pt>
                <c:pt idx="37">
                  <c:v>-10</c:v>
                </c:pt>
              </c:numCache>
            </c:numRef>
          </c:yVal>
          <c:smooth val="0"/>
        </c:ser>
        <c:ser>
          <c:idx val="6"/>
          <c:order val="6"/>
          <c:spPr>
            <a:ln w="19050">
              <a:noFill/>
            </a:ln>
          </c:spPr>
          <c:marker>
            <c:symbol val="squar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'atom properties'!$D$4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'atom properties'!$E$4</c:f>
              <c:numCache>
                <c:formatCode>General</c:formatCode>
                <c:ptCount val="1"/>
                <c:pt idx="0">
                  <c:v>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95088"/>
        <c:axId val="165295648"/>
      </c:scatterChart>
      <c:scatterChart>
        <c:scatterStyle val="lineMarker"/>
        <c:varyColors val="0"/>
        <c:ser>
          <c:idx val="1"/>
          <c:order val="1"/>
          <c:spPr>
            <a:ln w="254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'atom properties'!$B$26:$B$63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'atom properties'!$H$26:$H$63</c:f>
              <c:numCache>
                <c:formatCode>0.00</c:formatCode>
                <c:ptCount val="38"/>
                <c:pt idx="0">
                  <c:v>1.31</c:v>
                </c:pt>
                <c:pt idx="1">
                  <c:v>2.37</c:v>
                </c:pt>
                <c:pt idx="2">
                  <c:v>0.52</c:v>
                </c:pt>
                <c:pt idx="3">
                  <c:v>0.9</c:v>
                </c:pt>
                <c:pt idx="4">
                  <c:v>0.8</c:v>
                </c:pt>
                <c:pt idx="5">
                  <c:v>1.0900000000000001</c:v>
                </c:pt>
                <c:pt idx="6">
                  <c:v>1.4</c:v>
                </c:pt>
                <c:pt idx="7">
                  <c:v>1.31</c:v>
                </c:pt>
                <c:pt idx="8">
                  <c:v>1.68</c:v>
                </c:pt>
                <c:pt idx="9">
                  <c:v>2.08</c:v>
                </c:pt>
                <c:pt idx="10">
                  <c:v>0.5</c:v>
                </c:pt>
                <c:pt idx="11">
                  <c:v>0.74</c:v>
                </c:pt>
                <c:pt idx="12">
                  <c:v>0.57999999999999996</c:v>
                </c:pt>
                <c:pt idx="13">
                  <c:v>0.79</c:v>
                </c:pt>
                <c:pt idx="14">
                  <c:v>1.01</c:v>
                </c:pt>
                <c:pt idx="15">
                  <c:v>1</c:v>
                </c:pt>
                <c:pt idx="16">
                  <c:v>1.25</c:v>
                </c:pt>
                <c:pt idx="17">
                  <c:v>1.52</c:v>
                </c:pt>
                <c:pt idx="18">
                  <c:v>0.42</c:v>
                </c:pt>
                <c:pt idx="19">
                  <c:v>0.59</c:v>
                </c:pt>
                <c:pt idx="20">
                  <c:v>0.63</c:v>
                </c:pt>
                <c:pt idx="21">
                  <c:v>0.66</c:v>
                </c:pt>
                <c:pt idx="22">
                  <c:v>0.65</c:v>
                </c:pt>
                <c:pt idx="23">
                  <c:v>0.65</c:v>
                </c:pt>
                <c:pt idx="24">
                  <c:v>0.72</c:v>
                </c:pt>
                <c:pt idx="25">
                  <c:v>0.76</c:v>
                </c:pt>
                <c:pt idx="26">
                  <c:v>0.76</c:v>
                </c:pt>
                <c:pt idx="27">
                  <c:v>0.74</c:v>
                </c:pt>
                <c:pt idx="28">
                  <c:v>0.75</c:v>
                </c:pt>
                <c:pt idx="29">
                  <c:v>0.91</c:v>
                </c:pt>
                <c:pt idx="30">
                  <c:v>0.57999999999999996</c:v>
                </c:pt>
                <c:pt idx="31">
                  <c:v>0.76</c:v>
                </c:pt>
                <c:pt idx="32">
                  <c:v>0.95</c:v>
                </c:pt>
                <c:pt idx="33">
                  <c:v>0.94</c:v>
                </c:pt>
                <c:pt idx="34">
                  <c:v>1.1399999999999999</c:v>
                </c:pt>
                <c:pt idx="35">
                  <c:v>1.35</c:v>
                </c:pt>
                <c:pt idx="36">
                  <c:v>0.4</c:v>
                </c:pt>
                <c:pt idx="37">
                  <c:v>0.55000000000000004</c:v>
                </c:pt>
              </c:numCache>
            </c:numRef>
          </c:yVal>
          <c:smooth val="0"/>
        </c:ser>
        <c:ser>
          <c:idx val="2"/>
          <c:order val="2"/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'atom properties'!$B$27:$B$63</c:f>
              <c:numCache>
                <c:formatCode>General</c:formatCode>
                <c:ptCount val="3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</c:numCache>
            </c:numRef>
          </c:xVal>
          <c:yVal>
            <c:numRef>
              <c:f>'atom properties'!$J$27:$J$63</c:f>
              <c:numCache>
                <c:formatCode>0.00</c:formatCode>
                <c:ptCount val="37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  <c:pt idx="7">
                  <c:v>-10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-10</c:v>
                </c:pt>
                <c:pt idx="22">
                  <c:v>-10</c:v>
                </c:pt>
                <c:pt idx="23">
                  <c:v>-10</c:v>
                </c:pt>
                <c:pt idx="24">
                  <c:v>-10</c:v>
                </c:pt>
                <c:pt idx="25">
                  <c:v>-10</c:v>
                </c:pt>
                <c:pt idx="26">
                  <c:v>-10</c:v>
                </c:pt>
                <c:pt idx="27">
                  <c:v>-10</c:v>
                </c:pt>
                <c:pt idx="28">
                  <c:v>-10</c:v>
                </c:pt>
                <c:pt idx="29">
                  <c:v>-10</c:v>
                </c:pt>
                <c:pt idx="30">
                  <c:v>-10</c:v>
                </c:pt>
                <c:pt idx="31">
                  <c:v>-10</c:v>
                </c:pt>
                <c:pt idx="32">
                  <c:v>-10</c:v>
                </c:pt>
                <c:pt idx="33">
                  <c:v>-10</c:v>
                </c:pt>
                <c:pt idx="34">
                  <c:v>-10</c:v>
                </c:pt>
                <c:pt idx="35">
                  <c:v>-10</c:v>
                </c:pt>
                <c:pt idx="36">
                  <c:v>-10</c:v>
                </c:pt>
              </c:numCache>
            </c:numRef>
          </c:yVal>
          <c:smooth val="0"/>
        </c:ser>
        <c:ser>
          <c:idx val="3"/>
          <c:order val="3"/>
          <c:spPr>
            <a:ln w="254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'atom properties'!$B$26:$B$63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'atom properties'!$L$26:$L$63</c:f>
              <c:numCache>
                <c:formatCode>0.000</c:formatCode>
                <c:ptCount val="38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  <c:pt idx="7">
                  <c:v>-10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-10</c:v>
                </c:pt>
                <c:pt idx="22">
                  <c:v>-10</c:v>
                </c:pt>
                <c:pt idx="23">
                  <c:v>-10</c:v>
                </c:pt>
                <c:pt idx="24">
                  <c:v>-10</c:v>
                </c:pt>
                <c:pt idx="25">
                  <c:v>-10</c:v>
                </c:pt>
                <c:pt idx="26">
                  <c:v>-10</c:v>
                </c:pt>
                <c:pt idx="27">
                  <c:v>-10</c:v>
                </c:pt>
                <c:pt idx="28">
                  <c:v>-10</c:v>
                </c:pt>
                <c:pt idx="29">
                  <c:v>-10</c:v>
                </c:pt>
                <c:pt idx="30">
                  <c:v>-10</c:v>
                </c:pt>
                <c:pt idx="31">
                  <c:v>-10</c:v>
                </c:pt>
                <c:pt idx="32">
                  <c:v>-10</c:v>
                </c:pt>
                <c:pt idx="33">
                  <c:v>-10</c:v>
                </c:pt>
                <c:pt idx="34">
                  <c:v>-10</c:v>
                </c:pt>
                <c:pt idx="35">
                  <c:v>-10</c:v>
                </c:pt>
                <c:pt idx="36">
                  <c:v>-10</c:v>
                </c:pt>
                <c:pt idx="37">
                  <c:v>-10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xVal>
            <c:numRef>
              <c:f>'atom properties'!$F$8:$F$9</c:f>
              <c:numCache>
                <c:formatCode>0.000</c:formatCode>
                <c:ptCount val="2"/>
                <c:pt idx="0">
                  <c:v>0</c:v>
                </c:pt>
                <c:pt idx="1">
                  <c:v>37</c:v>
                </c:pt>
              </c:numCache>
            </c:numRef>
          </c:xVal>
          <c:yVal>
            <c:numRef>
              <c:f>'atom properties'!$G$8:$G$9</c:f>
              <c:numCache>
                <c:formatCode>General</c:formatCode>
                <c:ptCount val="2"/>
                <c:pt idx="0">
                  <c:v>-10</c:v>
                </c:pt>
                <c:pt idx="1">
                  <c:v>-10</c:v>
                </c:pt>
              </c:numCache>
            </c:numRef>
          </c:yVal>
          <c:smooth val="0"/>
        </c:ser>
        <c:ser>
          <c:idx val="5"/>
          <c:order val="5"/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'atom properties'!$B$26:$B$63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'atom properties'!$N$26:$N$63</c:f>
              <c:numCache>
                <c:formatCode>General</c:formatCode>
                <c:ptCount val="38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  <c:pt idx="7">
                  <c:v>-10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-10</c:v>
                </c:pt>
                <c:pt idx="22">
                  <c:v>-10</c:v>
                </c:pt>
                <c:pt idx="23">
                  <c:v>-10</c:v>
                </c:pt>
                <c:pt idx="24">
                  <c:v>-10</c:v>
                </c:pt>
                <c:pt idx="25">
                  <c:v>-10</c:v>
                </c:pt>
                <c:pt idx="26">
                  <c:v>-10</c:v>
                </c:pt>
                <c:pt idx="27">
                  <c:v>-10</c:v>
                </c:pt>
                <c:pt idx="28">
                  <c:v>-10</c:v>
                </c:pt>
                <c:pt idx="29">
                  <c:v>-10</c:v>
                </c:pt>
                <c:pt idx="30">
                  <c:v>-10</c:v>
                </c:pt>
                <c:pt idx="31">
                  <c:v>-10</c:v>
                </c:pt>
                <c:pt idx="32">
                  <c:v>-10</c:v>
                </c:pt>
                <c:pt idx="33">
                  <c:v>-10</c:v>
                </c:pt>
                <c:pt idx="34">
                  <c:v>-10</c:v>
                </c:pt>
                <c:pt idx="35">
                  <c:v>-10</c:v>
                </c:pt>
                <c:pt idx="36">
                  <c:v>-10</c:v>
                </c:pt>
                <c:pt idx="37">
                  <c:v>-10</c:v>
                </c:pt>
              </c:numCache>
            </c:numRef>
          </c:yVal>
          <c:smooth val="0"/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'atom properties'!$D$4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'atom properties'!$F$4</c:f>
              <c:numCache>
                <c:formatCode>General</c:formatCode>
                <c:ptCount val="1"/>
                <c:pt idx="0">
                  <c:v>0.52</c:v>
                </c:pt>
              </c:numCache>
            </c:numRef>
          </c:yVal>
          <c:smooth val="0"/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'atom properties'!$D$4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'atom properties'!$G$4</c:f>
              <c:numCache>
                <c:formatCode>General</c:formatCode>
                <c:ptCount val="1"/>
                <c:pt idx="0">
                  <c:v>-10</c:v>
                </c:pt>
              </c:numCache>
            </c:numRef>
          </c:yVal>
          <c:smooth val="0"/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'atom properties'!$D$4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'atom properties'!$H$4</c:f>
              <c:numCache>
                <c:formatCode>General</c:formatCode>
                <c:ptCount val="1"/>
                <c:pt idx="0">
                  <c:v>-10</c:v>
                </c:pt>
              </c:numCache>
            </c:numRef>
          </c:yVal>
          <c:smooth val="0"/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'atom properties'!$D$4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'atom properties'!$I$4</c:f>
              <c:numCache>
                <c:formatCode>General</c:formatCode>
                <c:ptCount val="1"/>
                <c:pt idx="0">
                  <c:v>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96208"/>
        <c:axId val="165296768"/>
      </c:scatterChart>
      <c:valAx>
        <c:axId val="165295088"/>
        <c:scaling>
          <c:orientation val="minMax"/>
          <c:max val="3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atomic number</a:t>
                </a:r>
              </a:p>
            </c:rich>
          </c:tx>
          <c:layout>
            <c:manualLayout>
              <c:xMode val="edge"/>
              <c:yMode val="edge"/>
              <c:x val="0.40675274915394416"/>
              <c:y val="0.87153758173175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5295648"/>
        <c:crosses val="autoZero"/>
        <c:crossBetween val="midCat"/>
        <c:majorUnit val="2"/>
      </c:valAx>
      <c:valAx>
        <c:axId val="1652956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atomic radius, pm</a:t>
                </a:r>
              </a:p>
            </c:rich>
          </c:tx>
          <c:layout>
            <c:manualLayout>
              <c:xMode val="edge"/>
              <c:yMode val="edge"/>
              <c:x val="9.6463022508038593E-3"/>
              <c:y val="0.29471059190649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5295088"/>
        <c:crosses val="autoZero"/>
        <c:crossBetween val="midCat"/>
      </c:valAx>
      <c:valAx>
        <c:axId val="16529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296768"/>
        <c:crosses val="autoZero"/>
        <c:crossBetween val="midCat"/>
      </c:valAx>
      <c:valAx>
        <c:axId val="165296768"/>
        <c:scaling>
          <c:orientation val="minMax"/>
          <c:min val="-0.12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MJ/mole</a:t>
                </a:r>
              </a:p>
            </c:rich>
          </c:tx>
          <c:layout>
            <c:manualLayout>
              <c:xMode val="edge"/>
              <c:yMode val="edge"/>
              <c:x val="0.94533829573554107"/>
              <c:y val="0.360202040236154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5296208"/>
        <c:crosses val="max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it-IT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02055865409625"/>
          <c:y val="0.11194050245689725"/>
          <c:w val="0.80816407063543394"/>
          <c:h val="0.6753743648232801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'atom properties'!$E$26:$E$63</c:f>
              <c:numCache>
                <c:formatCode>General</c:formatCode>
                <c:ptCount val="38"/>
                <c:pt idx="0">
                  <c:v>37</c:v>
                </c:pt>
                <c:pt idx="1">
                  <c:v>32</c:v>
                </c:pt>
                <c:pt idx="2">
                  <c:v>134</c:v>
                </c:pt>
                <c:pt idx="3">
                  <c:v>90</c:v>
                </c:pt>
                <c:pt idx="4">
                  <c:v>82</c:v>
                </c:pt>
                <c:pt idx="5">
                  <c:v>77</c:v>
                </c:pt>
                <c:pt idx="6">
                  <c:v>75</c:v>
                </c:pt>
                <c:pt idx="7">
                  <c:v>73</c:v>
                </c:pt>
                <c:pt idx="8">
                  <c:v>71</c:v>
                </c:pt>
                <c:pt idx="9">
                  <c:v>69</c:v>
                </c:pt>
                <c:pt idx="10">
                  <c:v>154</c:v>
                </c:pt>
                <c:pt idx="11">
                  <c:v>130</c:v>
                </c:pt>
                <c:pt idx="12">
                  <c:v>118</c:v>
                </c:pt>
                <c:pt idx="13">
                  <c:v>111</c:v>
                </c:pt>
                <c:pt idx="14">
                  <c:v>106</c:v>
                </c:pt>
                <c:pt idx="15">
                  <c:v>102</c:v>
                </c:pt>
                <c:pt idx="16">
                  <c:v>99</c:v>
                </c:pt>
                <c:pt idx="17">
                  <c:v>97</c:v>
                </c:pt>
                <c:pt idx="18">
                  <c:v>196</c:v>
                </c:pt>
                <c:pt idx="19">
                  <c:v>174</c:v>
                </c:pt>
                <c:pt idx="20">
                  <c:v>144</c:v>
                </c:pt>
                <c:pt idx="21">
                  <c:v>136</c:v>
                </c:pt>
                <c:pt idx="22">
                  <c:v>125</c:v>
                </c:pt>
                <c:pt idx="23">
                  <c:v>127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121</c:v>
                </c:pt>
                <c:pt idx="28">
                  <c:v>138</c:v>
                </c:pt>
                <c:pt idx="29">
                  <c:v>131</c:v>
                </c:pt>
                <c:pt idx="30">
                  <c:v>126</c:v>
                </c:pt>
                <c:pt idx="31">
                  <c:v>122</c:v>
                </c:pt>
                <c:pt idx="32">
                  <c:v>119</c:v>
                </c:pt>
                <c:pt idx="33">
                  <c:v>116</c:v>
                </c:pt>
                <c:pt idx="34">
                  <c:v>114</c:v>
                </c:pt>
                <c:pt idx="35">
                  <c:v>110</c:v>
                </c:pt>
                <c:pt idx="36">
                  <c:v>211</c:v>
                </c:pt>
                <c:pt idx="37">
                  <c:v>192</c:v>
                </c:pt>
              </c:numCache>
            </c:numRef>
          </c:xVal>
          <c:yVal>
            <c:numRef>
              <c:f>'atom properties'!$G$26:$G$63</c:f>
              <c:numCache>
                <c:formatCode>0.00</c:formatCode>
                <c:ptCount val="38"/>
                <c:pt idx="0">
                  <c:v>1.31</c:v>
                </c:pt>
                <c:pt idx="1">
                  <c:v>2.37</c:v>
                </c:pt>
                <c:pt idx="2">
                  <c:v>0.52</c:v>
                </c:pt>
                <c:pt idx="3">
                  <c:v>0.9</c:v>
                </c:pt>
                <c:pt idx="4">
                  <c:v>0.8</c:v>
                </c:pt>
                <c:pt idx="5">
                  <c:v>1.0900000000000001</c:v>
                </c:pt>
                <c:pt idx="6">
                  <c:v>1.4</c:v>
                </c:pt>
                <c:pt idx="7">
                  <c:v>1.31</c:v>
                </c:pt>
                <c:pt idx="8">
                  <c:v>1.68</c:v>
                </c:pt>
                <c:pt idx="9">
                  <c:v>2.08</c:v>
                </c:pt>
                <c:pt idx="10">
                  <c:v>0.5</c:v>
                </c:pt>
                <c:pt idx="11">
                  <c:v>0.74</c:v>
                </c:pt>
                <c:pt idx="12">
                  <c:v>0.57999999999999996</c:v>
                </c:pt>
                <c:pt idx="13">
                  <c:v>0.79</c:v>
                </c:pt>
                <c:pt idx="14">
                  <c:v>1.01</c:v>
                </c:pt>
                <c:pt idx="15">
                  <c:v>1</c:v>
                </c:pt>
                <c:pt idx="16">
                  <c:v>1.25</c:v>
                </c:pt>
                <c:pt idx="17">
                  <c:v>1.52</c:v>
                </c:pt>
                <c:pt idx="18">
                  <c:v>0.42</c:v>
                </c:pt>
                <c:pt idx="19">
                  <c:v>0.59</c:v>
                </c:pt>
                <c:pt idx="20">
                  <c:v>0.63</c:v>
                </c:pt>
                <c:pt idx="21">
                  <c:v>0.66</c:v>
                </c:pt>
                <c:pt idx="22">
                  <c:v>0.65</c:v>
                </c:pt>
                <c:pt idx="23">
                  <c:v>0.65</c:v>
                </c:pt>
                <c:pt idx="24">
                  <c:v>0.72</c:v>
                </c:pt>
                <c:pt idx="25">
                  <c:v>0.76</c:v>
                </c:pt>
                <c:pt idx="26">
                  <c:v>0.76</c:v>
                </c:pt>
                <c:pt idx="27">
                  <c:v>0.74</c:v>
                </c:pt>
                <c:pt idx="28">
                  <c:v>0.75</c:v>
                </c:pt>
                <c:pt idx="29">
                  <c:v>0.91</c:v>
                </c:pt>
                <c:pt idx="30">
                  <c:v>0.57999999999999996</c:v>
                </c:pt>
                <c:pt idx="31">
                  <c:v>0.76</c:v>
                </c:pt>
                <c:pt idx="32">
                  <c:v>0.95</c:v>
                </c:pt>
                <c:pt idx="33">
                  <c:v>0.94</c:v>
                </c:pt>
                <c:pt idx="34">
                  <c:v>1.1399999999999999</c:v>
                </c:pt>
                <c:pt idx="35">
                  <c:v>1.35</c:v>
                </c:pt>
                <c:pt idx="36" formatCode="General">
                  <c:v>0.4</c:v>
                </c:pt>
                <c:pt idx="37" formatCode="General">
                  <c:v>0.55000000000000004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596560"/>
        <c:axId val="165597120"/>
      </c:scatterChart>
      <c:valAx>
        <c:axId val="165596560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atomic radius</a:t>
                </a:r>
              </a:p>
            </c:rich>
          </c:tx>
          <c:layout>
            <c:manualLayout>
              <c:xMode val="edge"/>
              <c:yMode val="edge"/>
              <c:x val="0.46938818361990464"/>
              <c:y val="0.873135895326516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5597120"/>
        <c:crosses val="autoZero"/>
        <c:crossBetween val="midCat"/>
      </c:valAx>
      <c:valAx>
        <c:axId val="165597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1st IE</a:t>
                </a:r>
              </a:p>
            </c:rich>
          </c:tx>
          <c:layout>
            <c:manualLayout>
              <c:xMode val="edge"/>
              <c:yMode val="edge"/>
              <c:x val="1.020408163265306E-2"/>
              <c:y val="0.37313511184236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5596560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3088405434377"/>
          <c:y val="7.7519673266689626E-2"/>
          <c:w val="0.81818259091531575"/>
          <c:h val="0.6860491084102032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613910149349382E-2"/>
                  <c:y val="-7.71763189292578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30639855416783E-2"/>
                  <c:y val="-7.326915949069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130411351821756E-2"/>
                  <c:y val="-7.51917668976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691375363804839E-2"/>
                  <c:y val="-7.8897175262513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778233877735695E-2"/>
                  <c:y val="-7.32379837154604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404960086136461E-2"/>
                  <c:y val="-6.48348909700102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097448490954965E-2"/>
                  <c:y val="-6.9191424753622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81739288114957E-2"/>
                  <c:y val="-7.0804057338838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80"/>
                      </a:solidFill>
                      <a:latin typeface="Comic Sans MS"/>
                      <a:ea typeface="Comic Sans MS"/>
                      <a:cs typeface="Comic Sans MS"/>
                    </a:defRPr>
                  </a:pPr>
                  <a:endParaRPr lang="it-IT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8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'ion properties'!$B$5:$B$12</c:f>
              <c:strCache>
                <c:ptCount val="8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Ar</c:v>
                </c:pt>
              </c:strCache>
            </c:strRef>
          </c:xVal>
          <c:yVal>
            <c:numRef>
              <c:f>'ion properties'!$C$5:$C$12</c:f>
              <c:numCache>
                <c:formatCode>General</c:formatCode>
                <c:ptCount val="8"/>
                <c:pt idx="0">
                  <c:v>154</c:v>
                </c:pt>
                <c:pt idx="1">
                  <c:v>130</c:v>
                </c:pt>
                <c:pt idx="2">
                  <c:v>118</c:v>
                </c:pt>
                <c:pt idx="3">
                  <c:v>111</c:v>
                </c:pt>
                <c:pt idx="4">
                  <c:v>106</c:v>
                </c:pt>
                <c:pt idx="5">
                  <c:v>102</c:v>
                </c:pt>
                <c:pt idx="6">
                  <c:v>99</c:v>
                </c:pt>
                <c:pt idx="7">
                  <c:v>97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285099167260912E-2"/>
                  <c:y val="0.21440650808857564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FF0000"/>
                        </a:solidFill>
                        <a:latin typeface="Comic Sans MS"/>
                      </a:rPr>
                      <a:t>Na</a:t>
                    </a:r>
                    <a:r>
                      <a:rPr lang="it-IT" sz="975" b="0" i="0" u="none" strike="noStrike" baseline="30000">
                        <a:solidFill>
                          <a:srgbClr val="FF0000"/>
                        </a:solidFill>
                        <a:latin typeface="Comic Sans MS"/>
                      </a:rPr>
                      <a:t>+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911825375661733E-2"/>
                  <c:y val="0.12432855244067931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FF0000"/>
                        </a:solidFill>
                        <a:latin typeface="Comic Sans MS"/>
                      </a:rPr>
                      <a:t>Mg</a:t>
                    </a:r>
                    <a:r>
                      <a:rPr lang="it-IT" sz="975" b="0" i="0" u="none" strike="noStrike" baseline="30000">
                        <a:solidFill>
                          <a:srgbClr val="FF0000"/>
                        </a:solidFill>
                        <a:latin typeface="Comic Sans MS"/>
                      </a:rPr>
                      <a:t>+2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867362566151024E-2"/>
                  <c:y val="9.0917525606734717E-2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FF0000"/>
                        </a:solidFill>
                        <a:latin typeface="Comic Sans MS"/>
                      </a:rPr>
                      <a:t>Al</a:t>
                    </a:r>
                    <a:r>
                      <a:rPr lang="it-IT" sz="975" b="0" i="0" u="none" strike="noStrike" baseline="30000">
                        <a:solidFill>
                          <a:srgbClr val="FF0000"/>
                        </a:solidFill>
                        <a:latin typeface="Comic Sans MS"/>
                      </a:rPr>
                      <a:t>+3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25613167387211E-2"/>
                  <c:y val="5.8468005939224521E-2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FF0000"/>
                        </a:solidFill>
                        <a:latin typeface="Comic Sans MS"/>
                      </a:rPr>
                      <a:t>Si</a:t>
                    </a:r>
                    <a:r>
                      <a:rPr lang="it-IT" sz="975" b="0" i="0" u="none" strike="noStrike" baseline="30000">
                        <a:solidFill>
                          <a:srgbClr val="FF0000"/>
                        </a:solidFill>
                        <a:latin typeface="Comic Sans MS"/>
                      </a:rPr>
                      <a:t>+4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8449422895647225E-2"/>
                  <c:y val="4.7010630247724339E-2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FF0000"/>
                        </a:solidFill>
                        <a:latin typeface="Comic Sans MS"/>
                      </a:rPr>
                      <a:t>P</a:t>
                    </a:r>
                    <a:r>
                      <a:rPr lang="it-IT" sz="975" b="0" i="0" u="none" strike="noStrike" baseline="30000">
                        <a:solidFill>
                          <a:srgbClr val="FF0000"/>
                        </a:solidFill>
                        <a:latin typeface="Comic Sans MS"/>
                      </a:rPr>
                      <a:t>+5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'ion properties'!$D$5:$D$12</c:f>
              <c:strCache>
                <c:ptCount val="5"/>
                <c:pt idx="0">
                  <c:v>Na+</c:v>
                </c:pt>
                <c:pt idx="1">
                  <c:v>Mg+2</c:v>
                </c:pt>
                <c:pt idx="2">
                  <c:v>Al+3</c:v>
                </c:pt>
                <c:pt idx="3">
                  <c:v>Si+4</c:v>
                </c:pt>
                <c:pt idx="4">
                  <c:v>P+5</c:v>
                </c:pt>
              </c:strCache>
            </c:strRef>
          </c:xVal>
          <c:yVal>
            <c:numRef>
              <c:f>'ion properties'!$F$5:$F$12</c:f>
              <c:numCache>
                <c:formatCode>General</c:formatCode>
                <c:ptCount val="8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</c:numCache>
            </c:numRef>
          </c:yVal>
          <c:smooth val="0"/>
        </c:ser>
        <c:ser>
          <c:idx val="2"/>
          <c:order val="2"/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Mode val="edge"/>
                  <c:yMode val="edge"/>
                  <c:x val="0.64023271298574347"/>
                  <c:y val="0.66666919009353076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008000"/>
                        </a:solidFill>
                        <a:latin typeface="Comic Sans MS"/>
                      </a:rPr>
                      <a:t>P</a:t>
                    </a:r>
                    <a:r>
                      <a:rPr lang="it-IT" sz="975" b="0" i="0" u="none" strike="noStrike" baseline="30000">
                        <a:solidFill>
                          <a:srgbClr val="008000"/>
                        </a:solidFill>
                        <a:latin typeface="Comic Sans MS"/>
                      </a:rPr>
                      <a:t>-3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7408130787720234"/>
                  <c:y val="0.67829714108353423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008000"/>
                        </a:solidFill>
                        <a:latin typeface="Comic Sans MS"/>
                      </a:rPr>
                      <a:t>S</a:t>
                    </a:r>
                    <a:r>
                      <a:rPr lang="it-IT" sz="975" b="0" i="0" u="none" strike="noStrike" baseline="30000">
                        <a:solidFill>
                          <a:srgbClr val="008000"/>
                        </a:solidFill>
                        <a:latin typeface="Comic Sans MS"/>
                      </a:rPr>
                      <a:t>-2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83945920675472108"/>
                  <c:y val="0.67829714108353423"/>
                </c:manualLayout>
              </c:layout>
              <c:tx>
                <c:rich>
                  <a:bodyPr/>
                  <a:lstStyle/>
                  <a:p>
                    <a:pPr>
                      <a:defRPr sz="950" b="0" i="0" u="none" strike="noStrike" baseline="0">
                        <a:solidFill>
                          <a:srgbClr val="000000"/>
                        </a:solidFill>
                        <a:latin typeface="Comic Sans MS"/>
                        <a:ea typeface="Comic Sans MS"/>
                        <a:cs typeface="Comic Sans MS"/>
                      </a:defRPr>
                    </a:pPr>
                    <a:r>
                      <a:rPr lang="it-IT" sz="975" b="0" i="0" u="none" strike="noStrike" baseline="0">
                        <a:solidFill>
                          <a:srgbClr val="008000"/>
                        </a:solidFill>
                        <a:latin typeface="Comic Sans MS"/>
                      </a:rPr>
                      <a:t>Cl</a:t>
                    </a:r>
                    <a:r>
                      <a:rPr lang="it-IT" sz="975" b="0" i="0" u="none" strike="noStrike" baseline="30000">
                        <a:solidFill>
                          <a:srgbClr val="008000"/>
                        </a:solidFill>
                        <a:latin typeface="Comic Sans MS"/>
                      </a:rPr>
                      <a:t>-1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8000"/>
                    </a:solidFill>
                    <a:latin typeface="Comic Sans MS"/>
                    <a:ea typeface="Comic Sans MS"/>
                    <a:cs typeface="Comic Sans MS"/>
                  </a:defRPr>
                </a:pPr>
                <a:endParaRPr lang="it-IT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'ion properties'!$G$5:$G$12</c:f>
              <c:strCache>
                <c:ptCount val="7"/>
                <c:pt idx="4">
                  <c:v>P-3</c:v>
                </c:pt>
                <c:pt idx="5">
                  <c:v>S-2</c:v>
                </c:pt>
                <c:pt idx="6">
                  <c:v>Cl-1</c:v>
                </c:pt>
              </c:strCache>
            </c:strRef>
          </c:xVal>
          <c:yVal>
            <c:numRef>
              <c:f>'ion properties'!$I$5:$I$12</c:f>
              <c:numCache>
                <c:formatCode>General</c:formatCode>
                <c:ptCount val="8"/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02064"/>
        <c:axId val="166702624"/>
      </c:scatterChart>
      <c:valAx>
        <c:axId val="166702064"/>
        <c:scaling>
          <c:orientation val="minMax"/>
          <c:max val="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Group A Elements of Period 3</a:t>
                </a:r>
              </a:p>
            </c:rich>
          </c:tx>
          <c:layout>
            <c:manualLayout>
              <c:xMode val="edge"/>
              <c:yMode val="edge"/>
              <c:x val="0.3462286459840489"/>
              <c:y val="0.864344340678345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6702624"/>
        <c:crosses val="autoZero"/>
        <c:crossBetween val="midCat"/>
        <c:majorUnit val="1"/>
      </c:valAx>
      <c:valAx>
        <c:axId val="166702624"/>
        <c:scaling>
          <c:orientation val="minMax"/>
          <c:max val="2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Radius, pm</a:t>
                </a:r>
              </a:p>
            </c:rich>
          </c:tx>
          <c:layout>
            <c:manualLayout>
              <c:xMode val="edge"/>
              <c:yMode val="edge"/>
              <c:x val="1.160541586073501E-2"/>
              <c:y val="0.27131905023499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670206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it-IT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2509320559576"/>
          <c:y val="6.5340999729502913E-2"/>
          <c:w val="0.80810318674122417"/>
          <c:h val="0.7585237794685773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'electron properties'!$E$5:$E$6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'electron properties'!$F$5:$F$6</c:f>
              <c:numCache>
                <c:formatCode>General</c:formatCode>
                <c:ptCount val="2"/>
                <c:pt idx="0">
                  <c:v>0.01</c:v>
                </c:pt>
                <c:pt idx="1">
                  <c:v>0.01</c:v>
                </c:pt>
              </c:numCache>
            </c:numRef>
          </c:yVal>
          <c:smooth val="0"/>
        </c:ser>
        <c:ser>
          <c:idx val="2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'electron properties'!$F$8:$F$13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xVal>
          <c:yVal>
            <c:numRef>
              <c:f>'electron properties'!$G$8:$G$13</c:f>
              <c:numCache>
                <c:formatCode>General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</c:numCache>
            </c:numRef>
          </c:yVal>
          <c:smooth val="0"/>
        </c:ser>
        <c:ser>
          <c:idx val="3"/>
          <c:order val="2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'electron properties'!$G$15:$G$16</c:f>
              <c:numCache>
                <c:formatCode>General</c:formatCode>
                <c:ptCount val="2"/>
                <c:pt idx="0">
                  <c:v>9</c:v>
                </c:pt>
                <c:pt idx="1">
                  <c:v>10</c:v>
                </c:pt>
              </c:numCache>
            </c:numRef>
          </c:xVal>
          <c:yVal>
            <c:numRef>
              <c:f>'electron properties'!$H$15:$H$16</c:f>
              <c:numCache>
                <c:formatCode>General</c:formatCode>
                <c:ptCount val="2"/>
                <c:pt idx="0">
                  <c:v>0.01</c:v>
                </c:pt>
                <c:pt idx="1">
                  <c:v>0.01</c:v>
                </c:pt>
              </c:numCache>
            </c:numRef>
          </c:yVal>
          <c:smooth val="0"/>
        </c:ser>
        <c:ser>
          <c:idx val="4"/>
          <c:order val="3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'electron properties'!$I$5:$I$10</c:f>
              <c:numCache>
                <c:formatCode>General</c:formatCode>
                <c:ptCount val="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</c:numCache>
            </c:numRef>
          </c:xVal>
          <c:yVal>
            <c:numRef>
              <c:f>'electron properties'!$J$5:$J$10</c:f>
              <c:numCache>
                <c:formatCode>General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</c:numCache>
            </c:numRef>
          </c:yVal>
          <c:smooth val="0"/>
        </c:ser>
        <c:ser>
          <c:idx val="5"/>
          <c:order val="4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'electron properties'!$K$15:$K$16</c:f>
              <c:numCache>
                <c:formatCode>General</c:formatCode>
                <c:ptCount val="2"/>
                <c:pt idx="0">
                  <c:v>19</c:v>
                </c:pt>
                <c:pt idx="1">
                  <c:v>20</c:v>
                </c:pt>
              </c:numCache>
            </c:numRef>
          </c:xVal>
          <c:yVal>
            <c:numRef>
              <c:f>'electron properties'!$L$15:$L$16</c:f>
              <c:numCache>
                <c:formatCode>General</c:formatCode>
                <c:ptCount val="2"/>
                <c:pt idx="0">
                  <c:v>0.01</c:v>
                </c:pt>
                <c:pt idx="1">
                  <c:v>0.01</c:v>
                </c:pt>
              </c:numCache>
            </c:numRef>
          </c:yVal>
          <c:smooth val="0"/>
        </c:ser>
        <c:ser>
          <c:idx val="0"/>
          <c:order val="5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'electron properties'!$J$12:$J$13</c:f>
              <c:numCache>
                <c:formatCode>General</c:formatCode>
                <c:ptCount val="2"/>
                <c:pt idx="0">
                  <c:v>17</c:v>
                </c:pt>
                <c:pt idx="1">
                  <c:v>18</c:v>
                </c:pt>
              </c:numCache>
            </c:numRef>
          </c:xVal>
          <c:yVal>
            <c:numRef>
              <c:f>'electron properties'!$K$12:$K$13</c:f>
              <c:numCache>
                <c:formatCode>General</c:formatCode>
                <c:ptCount val="2"/>
                <c:pt idx="0">
                  <c:v>0.01</c:v>
                </c:pt>
                <c:pt idx="1">
                  <c:v>0.01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598240"/>
        <c:axId val="163152272"/>
      </c:scatterChart>
      <c:valAx>
        <c:axId val="16559824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number of electrons removed</a:t>
                </a:r>
              </a:p>
            </c:rich>
          </c:tx>
          <c:layout>
            <c:manualLayout>
              <c:xMode val="edge"/>
              <c:yMode val="edge"/>
              <c:x val="0.35181281444297074"/>
              <c:y val="0.903410283941779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3152272"/>
        <c:crossesAt val="0.1"/>
        <c:crossBetween val="midCat"/>
        <c:majorUnit val="2"/>
      </c:valAx>
      <c:valAx>
        <c:axId val="163152272"/>
        <c:scaling>
          <c:logBase val="10"/>
          <c:orientation val="minMax"/>
          <c:max val="1000"/>
          <c:min val="0.1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IE</a:t>
                </a:r>
              </a:p>
            </c:rich>
          </c:tx>
          <c:layout>
            <c:manualLayout>
              <c:xMode val="edge"/>
              <c:yMode val="edge"/>
              <c:x val="1.0660980810234541E-2"/>
              <c:y val="0.40056877833452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5598240"/>
        <c:crosses val="autoZero"/>
        <c:crossBetween val="midCat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it-IT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92307692307691E-2"/>
          <c:y val="9.0651558073654395E-2"/>
          <c:w val="0.89538461538461533"/>
          <c:h val="0.74220963172804533"/>
        </c:manualLayout>
      </c:layout>
      <c:scatterChart>
        <c:scatterStyle val="lineMarker"/>
        <c:varyColors val="0"/>
        <c:ser>
          <c:idx val="10"/>
          <c:order val="0"/>
          <c:spPr>
            <a:ln w="38100">
              <a:solidFill>
                <a:srgbClr val="9933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</c:dPt>
          <c:xVal>
            <c:numRef>
              <c:f>'group B metals'!$D$42:$D$43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'group B metals'!$E$42:$E$43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metals'!$O$26:$O$35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2"/>
          <c:order val="2"/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metals'!$V$26:$V$35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metals'!$D$26:$D$35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4"/>
          <c:order val="4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metals'!$K$26:$K$35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5"/>
          <c:order val="5"/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metals'!$R$26:$R$35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0"/>
          <c:order val="6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metals'!$H$26:$H$35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6"/>
          <c:order val="7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metals'!$F$26:$F$35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7"/>
          <c:order val="8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metals'!$M$26:$M$35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8"/>
          <c:order val="9"/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metals'!$T$26:$T$35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ser>
          <c:idx val="9"/>
          <c:order val="10"/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xVal>
            <c:numRef>
              <c:f>'group B metals'!$A$26:$A$35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'group B metals'!$W$26:$W$35</c:f>
              <c:numCache>
                <c:formatCode>General</c:formatCode>
                <c:ptCount val="1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8144"/>
        <c:axId val="166698704"/>
      </c:scatterChart>
      <c:valAx>
        <c:axId val="166698144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it-IT"/>
                  <a:t>number of d electrons</a:t>
                </a:r>
              </a:p>
            </c:rich>
          </c:tx>
          <c:layout>
            <c:manualLayout>
              <c:xMode val="edge"/>
              <c:yMode val="edge"/>
              <c:x val="0.40769230769230769"/>
              <c:y val="0.90368271954674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6698704"/>
        <c:crosses val="autoZero"/>
        <c:crossBetween val="midCat"/>
        <c:majorUnit val="1"/>
      </c:valAx>
      <c:valAx>
        <c:axId val="166698704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it-IT"/>
          </a:p>
        </c:txPr>
        <c:crossAx val="16669814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Radio" firstButton="1" fmlaLink="$K$5" lockText="1"/>
</file>

<file path=xl/ctrlProps/ctrlProp10.xml><?xml version="1.0" encoding="utf-8"?>
<formControlPr xmlns="http://schemas.microsoft.com/office/spreadsheetml/2009/9/main" objectType="CheckBox" fmlaLink="$L$5" lockText="1"/>
</file>

<file path=xl/ctrlProps/ctrlProp11.xml><?xml version="1.0" encoding="utf-8"?>
<formControlPr xmlns="http://schemas.microsoft.com/office/spreadsheetml/2009/9/main" objectType="CheckBox" fmlaLink="$L$7" lockText="1"/>
</file>

<file path=xl/ctrlProps/ctrlProp12.xml><?xml version="1.0" encoding="utf-8"?>
<formControlPr xmlns="http://schemas.microsoft.com/office/spreadsheetml/2009/9/main" objectType="CheckBox" fmlaLink="$E$19" lockText="1"/>
</file>

<file path=xl/ctrlProps/ctrlProp13.xml><?xml version="1.0" encoding="utf-8"?>
<formControlPr xmlns="http://schemas.microsoft.com/office/spreadsheetml/2009/9/main" objectType="CheckBox" fmlaLink="$G$19" lockText="1"/>
</file>

<file path=xl/ctrlProps/ctrlProp14.xml><?xml version="1.0" encoding="utf-8"?>
<formControlPr xmlns="http://schemas.microsoft.com/office/spreadsheetml/2009/9/main" objectType="CheckBox" fmlaLink="$F$19" lockText="1"/>
</file>

<file path=xl/ctrlProps/ctrlProp15.xml><?xml version="1.0" encoding="utf-8"?>
<formControlPr xmlns="http://schemas.microsoft.com/office/spreadsheetml/2009/9/main" objectType="CheckBox" fmlaLink="$I$19" lockText="1"/>
</file>

<file path=xl/ctrlProps/ctrlProp16.xml><?xml version="1.0" encoding="utf-8"?>
<formControlPr xmlns="http://schemas.microsoft.com/office/spreadsheetml/2009/9/main" objectType="CheckBox" fmlaLink="$J$19" lockText="1"/>
</file>

<file path=xl/ctrlProps/ctrlProp17.xml><?xml version="1.0" encoding="utf-8"?>
<formControlPr xmlns="http://schemas.microsoft.com/office/spreadsheetml/2009/9/main" objectType="CheckBox" fmlaLink="$L$19" lockText="1"/>
</file>

<file path=xl/ctrlProps/ctrlProp18.xml><?xml version="1.0" encoding="utf-8"?>
<formControlPr xmlns="http://schemas.microsoft.com/office/spreadsheetml/2009/9/main" objectType="CheckBox" fmlaLink="M18" lockText="1"/>
</file>

<file path=xl/ctrlProps/ctrlProp19.xml><?xml version="1.0" encoding="utf-8"?>
<formControlPr xmlns="http://schemas.microsoft.com/office/spreadsheetml/2009/9/main" objectType="Spin" dx="16" fmlaLink="$L$2" max="10" min="1" page="10"/>
</file>

<file path=xl/ctrlProps/ctrlProp2.xml><?xml version="1.0" encoding="utf-8"?>
<formControlPr xmlns="http://schemas.microsoft.com/office/spreadsheetml/2009/9/main" objectType="Radio" checked="Checked" lockText="1"/>
</file>

<file path=xl/ctrlProps/ctrlProp20.xml><?xml version="1.0" encoding="utf-8"?>
<formControlPr xmlns="http://schemas.microsoft.com/office/spreadsheetml/2009/9/main" objectType="CheckBox" fmlaLink="$L$9" lockText="1"/>
</file>

<file path=xl/ctrlProps/ctrlProp21.xml><?xml version="1.0" encoding="utf-8"?>
<formControlPr xmlns="http://schemas.microsoft.com/office/spreadsheetml/2009/9/main" objectType="CheckBox" fmlaLink="$L$11" lockText="1"/>
</file>

<file path=xl/ctrlProps/ctrlProp22.xml><?xml version="1.0" encoding="utf-8"?>
<formControlPr xmlns="http://schemas.microsoft.com/office/spreadsheetml/2009/9/main" objectType="CheckBox" fmlaLink="$L$13" lockText="1"/>
</file>

<file path=xl/ctrlProps/ctrlProp23.xml><?xml version="1.0" encoding="utf-8"?>
<formControlPr xmlns="http://schemas.microsoft.com/office/spreadsheetml/2009/9/main" objectType="Radio" checked="Checked" firstButton="1" fmlaLink="$L$17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Spin" dx="16" fmlaLink="$K$2" max="38" min="1" page="10" val="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hyperlink" Target="#'atom properties'!A18"/><Relationship Id="rId2" Type="http://schemas.openxmlformats.org/officeDocument/2006/relationships/image" Target="../media/image2.jpeg"/><Relationship Id="rId1" Type="http://schemas.openxmlformats.org/officeDocument/2006/relationships/chart" Target="../charts/chart1.xml"/><Relationship Id="rId6" Type="http://schemas.openxmlformats.org/officeDocument/2006/relationships/hyperlink" Target="#'atom properties'!X18"/><Relationship Id="rId5" Type="http://schemas.openxmlformats.org/officeDocument/2006/relationships/chart" Target="../charts/chart2.xml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21</xdr:row>
      <xdr:rowOff>28575</xdr:rowOff>
    </xdr:from>
    <xdr:to>
      <xdr:col>2</xdr:col>
      <xdr:colOff>190500</xdr:colOff>
      <xdr:row>23</xdr:row>
      <xdr:rowOff>123825</xdr:rowOff>
    </xdr:to>
    <xdr:sp macro="" textlink="">
      <xdr:nvSpPr>
        <xdr:cNvPr id="4102" name="Line 1"/>
        <xdr:cNvSpPr>
          <a:spLocks noChangeShapeType="1"/>
        </xdr:cNvSpPr>
      </xdr:nvSpPr>
      <xdr:spPr bwMode="auto">
        <a:xfrm>
          <a:off x="1409700" y="4229100"/>
          <a:ext cx="0" cy="4762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447675</xdr:colOff>
      <xdr:row>4</xdr:row>
      <xdr:rowOff>9525</xdr:rowOff>
    </xdr:from>
    <xdr:to>
      <xdr:col>9</xdr:col>
      <xdr:colOff>457200</xdr:colOff>
      <xdr:row>17</xdr:row>
      <xdr:rowOff>133350</xdr:rowOff>
    </xdr:to>
    <xdr:pic>
      <xdr:nvPicPr>
        <xdr:cNvPr id="4103" name="Picture 2" descr="periodic_tab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00"/>
          <a:ext cx="3667125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23</xdr:row>
      <xdr:rowOff>76200</xdr:rowOff>
    </xdr:from>
    <xdr:to>
      <xdr:col>2</xdr:col>
      <xdr:colOff>523875</xdr:colOff>
      <xdr:row>24</xdr:row>
      <xdr:rowOff>28575</xdr:rowOff>
    </xdr:to>
    <xdr:sp macro="" textlink="">
      <xdr:nvSpPr>
        <xdr:cNvPr id="1054" name="Line 15"/>
        <xdr:cNvSpPr>
          <a:spLocks noChangeShapeType="1"/>
        </xdr:cNvSpPr>
      </xdr:nvSpPr>
      <xdr:spPr bwMode="auto">
        <a:xfrm>
          <a:off x="1914525" y="4533900"/>
          <a:ext cx="0" cy="14287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523875</xdr:colOff>
      <xdr:row>23</xdr:row>
      <xdr:rowOff>66675</xdr:rowOff>
    </xdr:from>
    <xdr:to>
      <xdr:col>3</xdr:col>
      <xdr:colOff>523875</xdr:colOff>
      <xdr:row>24</xdr:row>
      <xdr:rowOff>19050</xdr:rowOff>
    </xdr:to>
    <xdr:sp macro="" textlink="">
      <xdr:nvSpPr>
        <xdr:cNvPr id="1055" name="Line 16"/>
        <xdr:cNvSpPr>
          <a:spLocks noChangeShapeType="1"/>
        </xdr:cNvSpPr>
      </xdr:nvSpPr>
      <xdr:spPr bwMode="auto">
        <a:xfrm>
          <a:off x="2514600" y="4524375"/>
          <a:ext cx="0" cy="14287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2</xdr:row>
      <xdr:rowOff>161925</xdr:rowOff>
    </xdr:from>
    <xdr:to>
      <xdr:col>9</xdr:col>
      <xdr:colOff>428625</xdr:colOff>
      <xdr:row>22</xdr:row>
      <xdr:rowOff>152400</xdr:rowOff>
    </xdr:to>
    <xdr:graphicFrame macro="">
      <xdr:nvGraphicFramePr>
        <xdr:cNvPr id="1056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95250</xdr:rowOff>
        </xdr:from>
        <xdr:to>
          <xdr:col>11</xdr:col>
          <xdr:colOff>104775</xdr:colOff>
          <xdr:row>5</xdr:row>
          <xdr:rowOff>114300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3300" mc:Ignorable="a14" a14:legacySpreadsheetColorIndex="59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atomic radius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11</xdr:col>
          <xdr:colOff>428625</xdr:colOff>
          <xdr:row>7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0000" mc:Ignorable="a14" a14:legacySpreadsheetColorIndex="16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first ionization energy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95250</xdr:rowOff>
        </xdr:from>
        <xdr:to>
          <xdr:col>11</xdr:col>
          <xdr:colOff>571500</xdr:colOff>
          <xdr:row>8</xdr:row>
          <xdr:rowOff>123825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6600" mc:Ignorable="a14" a14:legacySpreadsheetColorIndex="53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second ionization energy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0</xdr:rowOff>
        </xdr:from>
        <xdr:to>
          <xdr:col>11</xdr:col>
          <xdr:colOff>561975</xdr:colOff>
          <xdr:row>10</xdr:row>
          <xdr:rowOff>28575</xdr:rowOff>
        </xdr:to>
        <xdr:sp macro="" textlink="">
          <xdr:nvSpPr>
            <xdr:cNvPr id="1031" name="Option Button 7" descr="Blue tissue paper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2"/>
              <a:srcRect/>
              <a:tile tx="0" ty="0" sx="100000" sy="100000" flip="none" algn="tl"/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both first and second 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142875</xdr:rowOff>
        </xdr:from>
        <xdr:to>
          <xdr:col>11</xdr:col>
          <xdr:colOff>104775</xdr:colOff>
          <xdr:row>11</xdr:row>
          <xdr:rowOff>161925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0080" mc:Ignorable="a14" a14:legacySpreadsheetColorIndex="20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electron affinity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57150</xdr:rowOff>
        </xdr:from>
        <xdr:to>
          <xdr:col>11</xdr:col>
          <xdr:colOff>666750</xdr:colOff>
          <xdr:row>18</xdr:row>
          <xdr:rowOff>85725</xdr:rowOff>
        </xdr:to>
        <xdr:sp macro="" textlink="">
          <xdr:nvSpPr>
            <xdr:cNvPr id="1033" name="Option Button 9" descr="White marble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3">
                <a:alphaModFix amt="67000"/>
              </a:blip>
              <a:srcRect/>
              <a:tile tx="0" ty="0" sx="100000" sy="100000" flip="none" algn="tl"/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both atomic radius &amp; 1st 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104775</xdr:rowOff>
        </xdr:from>
        <xdr:to>
          <xdr:col>11</xdr:col>
          <xdr:colOff>495300</xdr:colOff>
          <xdr:row>13</xdr:row>
          <xdr:rowOff>133350</xdr:rowOff>
        </xdr:to>
        <xdr:sp macro="" textlink="">
          <xdr:nvSpPr>
            <xdr:cNvPr id="1034" name="Option Button 10" descr="Stationery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1">
              <a:blip xmlns:r="http://schemas.openxmlformats.org/officeDocument/2006/relationships" r:embed="rId4"/>
              <a:srcRect/>
              <a:tile tx="0" ty="0" sx="100000" sy="100000" flip="none" algn="tl"/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EA, 1st IE, and 2nd 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66675</xdr:rowOff>
        </xdr:from>
        <xdr:to>
          <xdr:col>12</xdr:col>
          <xdr:colOff>38100</xdr:colOff>
          <xdr:row>15</xdr:row>
          <xdr:rowOff>95250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7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Electronegativity, Pauling scale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76200</xdr:colOff>
      <xdr:row>4</xdr:row>
      <xdr:rowOff>123825</xdr:rowOff>
    </xdr:from>
    <xdr:to>
      <xdr:col>22</xdr:col>
      <xdr:colOff>476250</xdr:colOff>
      <xdr:row>18</xdr:row>
      <xdr:rowOff>9525</xdr:rowOff>
    </xdr:to>
    <xdr:graphicFrame macro="">
      <xdr:nvGraphicFramePr>
        <xdr:cNvPr id="1057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20</xdr:row>
      <xdr:rowOff>19050</xdr:rowOff>
    </xdr:from>
    <xdr:to>
      <xdr:col>11</xdr:col>
      <xdr:colOff>666750</xdr:colOff>
      <xdr:row>22</xdr:row>
      <xdr:rowOff>104775</xdr:rowOff>
    </xdr:to>
    <xdr:sp macro="" textlink="">
      <xdr:nvSpPr>
        <xdr:cNvPr id="1037" name="AutoShape 13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6172200" y="3905250"/>
          <a:ext cx="1504950" cy="466725"/>
        </a:xfrm>
        <a:prstGeom prst="bevel">
          <a:avLst>
            <a:gd name="adj" fmla="val 14287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63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Comic Sans MS"/>
            </a:rPr>
            <a:t>Plot of 1st IE as a function of atomic radius </a:t>
          </a:r>
        </a:p>
      </xdr:txBody>
    </xdr:sp>
    <xdr:clientData/>
  </xdr:twoCellAnchor>
  <xdr:twoCellAnchor>
    <xdr:from>
      <xdr:col>18</xdr:col>
      <xdr:colOff>76200</xdr:colOff>
      <xdr:row>19</xdr:row>
      <xdr:rowOff>19050</xdr:rowOff>
    </xdr:from>
    <xdr:to>
      <xdr:col>20</xdr:col>
      <xdr:colOff>180975</xdr:colOff>
      <xdr:row>20</xdr:row>
      <xdr:rowOff>180975</xdr:rowOff>
    </xdr:to>
    <xdr:sp macro="" textlink="">
      <xdr:nvSpPr>
        <xdr:cNvPr id="1038" name="AutoShape 14">
          <a:hlinkClick xmlns:r="http://schemas.openxmlformats.org/officeDocument/2006/relationships" r:id="rId7"/>
        </xdr:cNvPr>
        <xdr:cNvSpPr>
          <a:spLocks noChangeArrowheads="1"/>
        </xdr:cNvSpPr>
      </xdr:nvSpPr>
      <xdr:spPr bwMode="auto">
        <a:xfrm>
          <a:off x="11325225" y="3714750"/>
          <a:ext cx="1323975" cy="35242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63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Comic Sans MS"/>
            </a:rPr>
            <a:t>back to trends graph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676275</xdr:colOff>
          <xdr:row>0</xdr:row>
          <xdr:rowOff>190500</xdr:rowOff>
        </xdr:from>
        <xdr:to>
          <xdr:col>11</xdr:col>
          <xdr:colOff>180975</xdr:colOff>
          <xdr:row>2</xdr:row>
          <xdr:rowOff>38100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66675</xdr:colOff>
      <xdr:row>0</xdr:row>
      <xdr:rowOff>171450</xdr:rowOff>
    </xdr:from>
    <xdr:to>
      <xdr:col>9</xdr:col>
      <xdr:colOff>152400</xdr:colOff>
      <xdr:row>1</xdr:row>
      <xdr:rowOff>19050</xdr:rowOff>
    </xdr:to>
    <xdr:sp macro="" textlink="">
      <xdr:nvSpPr>
        <xdr:cNvPr id="1060" name="Rectangle 20"/>
        <xdr:cNvSpPr>
          <a:spLocks noChangeArrowheads="1"/>
        </xdr:cNvSpPr>
      </xdr:nvSpPr>
      <xdr:spPr bwMode="auto">
        <a:xfrm>
          <a:off x="5676900" y="171450"/>
          <a:ext cx="85725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12</xdr:row>
      <xdr:rowOff>47625</xdr:rowOff>
    </xdr:from>
    <xdr:to>
      <xdr:col>10</xdr:col>
      <xdr:colOff>447675</xdr:colOff>
      <xdr:row>24</xdr:row>
      <xdr:rowOff>142875</xdr:rowOff>
    </xdr:to>
    <xdr:graphicFrame macro="">
      <xdr:nvGraphicFramePr>
        <xdr:cNvPr id="205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</xdr:row>
          <xdr:rowOff>9525</xdr:rowOff>
        </xdr:from>
        <xdr:to>
          <xdr:col>12</xdr:col>
          <xdr:colOff>266700</xdr:colOff>
          <xdr:row>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5D5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 cations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</xdr:row>
          <xdr:rowOff>171450</xdr:rowOff>
        </xdr:from>
        <xdr:to>
          <xdr:col>12</xdr:col>
          <xdr:colOff>266700</xdr:colOff>
          <xdr:row>6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D0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 anions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3</xdr:row>
      <xdr:rowOff>0</xdr:rowOff>
    </xdr:from>
    <xdr:to>
      <xdr:col>11</xdr:col>
      <xdr:colOff>457200</xdr:colOff>
      <xdr:row>19</xdr:row>
      <xdr:rowOff>0</xdr:rowOff>
    </xdr:to>
    <xdr:graphicFrame macro="">
      <xdr:nvGraphicFramePr>
        <xdr:cNvPr id="308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14</xdr:row>
          <xdr:rowOff>0</xdr:rowOff>
        </xdr:from>
        <xdr:to>
          <xdr:col>13</xdr:col>
          <xdr:colOff>466725</xdr:colOff>
          <xdr:row>15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8000" mc:Ignorable="a14" a14:legacySpreadsheetColorIndex="17">
                <a:alpha val="7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800000" mc:Ignorable="a14" a14:legacySpreadsheetColorIndex="1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10</xdr:row>
          <xdr:rowOff>9525</xdr:rowOff>
        </xdr:from>
        <xdr:to>
          <xdr:col>13</xdr:col>
          <xdr:colOff>466725</xdr:colOff>
          <xdr:row>11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3300" mc:Ignorable="a14" a14:legacySpreadsheetColorIndex="60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12</xdr:row>
          <xdr:rowOff>0</xdr:rowOff>
        </xdr:from>
        <xdr:to>
          <xdr:col>13</xdr:col>
          <xdr:colOff>466725</xdr:colOff>
          <xdr:row>13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3300" mc:Ignorable="a14" a14:legacySpreadsheetColorIndex="60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8</xdr:row>
          <xdr:rowOff>19050</xdr:rowOff>
        </xdr:from>
        <xdr:to>
          <xdr:col>13</xdr:col>
          <xdr:colOff>466725</xdr:colOff>
          <xdr:row>9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66FF" mc:Ignorable="a14" a14:legacySpreadsheetColorIndex="48">
                <a:alpha val="7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6</xdr:row>
          <xdr:rowOff>28575</xdr:rowOff>
        </xdr:from>
        <xdr:to>
          <xdr:col>13</xdr:col>
          <xdr:colOff>466725</xdr:colOff>
          <xdr:row>7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66FF" mc:Ignorable="a14" a14:legacySpreadsheetColorIndex="48">
                <a:alpha val="7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4</xdr:row>
          <xdr:rowOff>57150</xdr:rowOff>
        </xdr:from>
        <xdr:to>
          <xdr:col>13</xdr:col>
          <xdr:colOff>466725</xdr:colOff>
          <xdr:row>5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4s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17</xdr:row>
          <xdr:rowOff>9525</xdr:rowOff>
        </xdr:from>
        <xdr:to>
          <xdr:col>13</xdr:col>
          <xdr:colOff>495300</xdr:colOff>
          <xdr:row>18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00" mc:Ignorable="a14" a14:legacySpreadsheetColorIndex="5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room temperatre, 298K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0</xdr:row>
          <xdr:rowOff>28575</xdr:rowOff>
        </xdr:from>
        <xdr:to>
          <xdr:col>12</xdr:col>
          <xdr:colOff>295275</xdr:colOff>
          <xdr:row>2</xdr:row>
          <xdr:rowOff>28575</xdr:rowOff>
        </xdr:to>
        <xdr:sp macro="" textlink="">
          <xdr:nvSpPr>
            <xdr:cNvPr id="5130" name="Spinner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8</xdr:row>
          <xdr:rowOff>19050</xdr:rowOff>
        </xdr:from>
        <xdr:to>
          <xdr:col>12</xdr:col>
          <xdr:colOff>400050</xdr:colOff>
          <xdr:row>9</xdr:row>
          <xdr:rowOff>38100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5B5B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Period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10</xdr:row>
          <xdr:rowOff>19050</xdr:rowOff>
        </xdr:from>
        <xdr:to>
          <xdr:col>12</xdr:col>
          <xdr:colOff>400050</xdr:colOff>
          <xdr:row>11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4B4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Period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12</xdr:row>
          <xdr:rowOff>19050</xdr:rowOff>
        </xdr:from>
        <xdr:to>
          <xdr:col>12</xdr:col>
          <xdr:colOff>400050</xdr:colOff>
          <xdr:row>13</xdr:row>
          <xdr:rowOff>38100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C0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Period 6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3</xdr:row>
      <xdr:rowOff>95250</xdr:rowOff>
    </xdr:from>
    <xdr:to>
      <xdr:col>10</xdr:col>
      <xdr:colOff>466725</xdr:colOff>
      <xdr:row>21</xdr:row>
      <xdr:rowOff>28575</xdr:rowOff>
    </xdr:to>
    <xdr:graphicFrame macro="">
      <xdr:nvGraphicFramePr>
        <xdr:cNvPr id="5143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16</xdr:row>
          <xdr:rowOff>38100</xdr:rowOff>
        </xdr:from>
        <xdr:to>
          <xdr:col>13</xdr:col>
          <xdr:colOff>0</xdr:colOff>
          <xdr:row>17</xdr:row>
          <xdr:rowOff>57150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CCFF" mc:Ignorable="a14" a14:legacySpreadsheetColorIndex="4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Melting Point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18</xdr:row>
          <xdr:rowOff>9525</xdr:rowOff>
        </xdr:from>
        <xdr:to>
          <xdr:col>13</xdr:col>
          <xdr:colOff>0</xdr:colOff>
          <xdr:row>19</xdr:row>
          <xdr:rowOff>28575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CCFF" mc:Ignorable="a14" a14:legacySpreadsheetColorIndex="4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Density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19</xdr:row>
          <xdr:rowOff>161925</xdr:rowOff>
        </xdr:from>
        <xdr:to>
          <xdr:col>13</xdr:col>
          <xdr:colOff>0</xdr:colOff>
          <xdr:row>20</xdr:row>
          <xdr:rowOff>180975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CCFF" mc:Ignorable="a14" a14:legacySpreadsheetColorIndex="4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Resistivity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390525</xdr:colOff>
      <xdr:row>1</xdr:row>
      <xdr:rowOff>47625</xdr:rowOff>
    </xdr:from>
    <xdr:to>
      <xdr:col>13</xdr:col>
      <xdr:colOff>523875</xdr:colOff>
      <xdr:row>1</xdr:row>
      <xdr:rowOff>161925</xdr:rowOff>
    </xdr:to>
    <xdr:sp macro="" textlink="">
      <xdr:nvSpPr>
        <xdr:cNvPr id="5144" name="AutoShape 19"/>
        <xdr:cNvSpPr>
          <a:spLocks noChangeArrowheads="1"/>
        </xdr:cNvSpPr>
      </xdr:nvSpPr>
      <xdr:spPr bwMode="auto">
        <a:xfrm>
          <a:off x="7943850" y="27622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993300" mc:Ignorable="a14" a14:legacySpreadsheetColorIndex="6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bisceglia.eu/chimica/docs/tavola_periodic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ademic.pgcc.edu/~ssinex/excelets" TargetMode="External"/><Relationship Id="rId1" Type="http://schemas.openxmlformats.org/officeDocument/2006/relationships/hyperlink" Target="http://periodic.lanl.gov/default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.wikipedia.org/wiki/Tavola_periodica_degli_elementi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://www.webelements.com/" TargetMode="External"/><Relationship Id="rId1" Type="http://schemas.openxmlformats.org/officeDocument/2006/relationships/hyperlink" Target="http://academic.pgcc.edu/~ssinex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omments" Target="../comments2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cademic.pgcc.edu/~ssinex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academic.pgcc.edu/~ssinex" TargetMode="External"/><Relationship Id="rId6" Type="http://schemas.openxmlformats.org/officeDocument/2006/relationships/ctrlProp" Target="../ctrlProps/ctrlProp13.xml"/><Relationship Id="rId11" Type="http://schemas.openxmlformats.org/officeDocument/2006/relationships/comments" Target="../comments4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omments" Target="../comments5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academic.pgcc.edu/~ssinex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B3:M22"/>
  <sheetViews>
    <sheetView showGridLines="0" tabSelected="1" workbookViewId="0">
      <selection activeCell="K17" sqref="K17"/>
    </sheetView>
  </sheetViews>
  <sheetFormatPr defaultRowHeight="15" x14ac:dyDescent="0.3"/>
  <cols>
    <col min="1" max="16384" width="9.140625" style="1"/>
  </cols>
  <sheetData>
    <row r="3" spans="2:13" ht="24.75" x14ac:dyDescent="0.5">
      <c r="E3" s="51" t="s">
        <v>160</v>
      </c>
    </row>
    <row r="4" spans="2:13" ht="19.5" x14ac:dyDescent="0.4">
      <c r="F4" s="53" t="s">
        <v>161</v>
      </c>
    </row>
    <row r="7" spans="2:13" x14ac:dyDescent="0.3">
      <c r="B7" s="36" t="s">
        <v>106</v>
      </c>
    </row>
    <row r="8" spans="2:13" x14ac:dyDescent="0.3">
      <c r="B8" s="36" t="s">
        <v>107</v>
      </c>
      <c r="K8" s="1" t="s">
        <v>157</v>
      </c>
    </row>
    <row r="9" spans="2:13" x14ac:dyDescent="0.3">
      <c r="K9" s="36"/>
      <c r="L9" s="30" t="s">
        <v>158</v>
      </c>
      <c r="M9" s="36"/>
    </row>
    <row r="10" spans="2:13" x14ac:dyDescent="0.3">
      <c r="B10" s="36" t="s">
        <v>108</v>
      </c>
      <c r="K10" s="36"/>
      <c r="L10" s="30" t="s">
        <v>159</v>
      </c>
      <c r="M10" s="36"/>
    </row>
    <row r="11" spans="2:13" x14ac:dyDescent="0.3">
      <c r="L11" s="70"/>
    </row>
    <row r="12" spans="2:13" x14ac:dyDescent="0.3">
      <c r="B12" s="36" t="s">
        <v>109</v>
      </c>
    </row>
    <row r="13" spans="2:13" x14ac:dyDescent="0.3">
      <c r="B13" s="36" t="s">
        <v>110</v>
      </c>
      <c r="K13" s="36" t="s">
        <v>155</v>
      </c>
      <c r="L13" s="36"/>
      <c r="M13" s="36"/>
    </row>
    <row r="14" spans="2:13" x14ac:dyDescent="0.3">
      <c r="B14" s="36" t="s">
        <v>111</v>
      </c>
      <c r="K14" s="36" t="s">
        <v>156</v>
      </c>
      <c r="L14" s="54" t="s">
        <v>52</v>
      </c>
      <c r="M14" s="36"/>
    </row>
    <row r="15" spans="2:13" x14ac:dyDescent="0.3">
      <c r="B15" s="36" t="s">
        <v>112</v>
      </c>
    </row>
    <row r="16" spans="2:13" x14ac:dyDescent="0.3">
      <c r="K16" s="1" t="s">
        <v>167</v>
      </c>
    </row>
    <row r="17" spans="3:11" x14ac:dyDescent="0.3">
      <c r="K17" s="54" t="s">
        <v>52</v>
      </c>
    </row>
    <row r="19" spans="3:11" x14ac:dyDescent="0.3">
      <c r="F19" s="54" t="s">
        <v>105</v>
      </c>
    </row>
    <row r="21" spans="3:11" ht="16.5" x14ac:dyDescent="0.35">
      <c r="C21" s="52" t="s">
        <v>104</v>
      </c>
    </row>
    <row r="22" spans="3:11" x14ac:dyDescent="0.3">
      <c r="G22" s="55" t="s">
        <v>113</v>
      </c>
      <c r="I22" s="6"/>
      <c r="J22" s="56" t="s">
        <v>52</v>
      </c>
    </row>
  </sheetData>
  <phoneticPr fontId="7" type="noConversion"/>
  <hyperlinks>
    <hyperlink ref="F19" r:id="rId1"/>
    <hyperlink ref="J22" r:id="rId2"/>
    <hyperlink ref="L14" r:id="rId3"/>
    <hyperlink ref="K17" r:id="rId4"/>
  </hyperlinks>
  <pageMargins left="0.75" right="0.75" top="1" bottom="1" header="0.5" footer="0.5"/>
  <pageSetup orientation="landscape" verticalDpi="0" r:id="rId5"/>
  <headerFooter alignWithMargins="0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9"/>
  </sheetPr>
  <dimension ref="A1:R83"/>
  <sheetViews>
    <sheetView showGridLines="0" workbookViewId="0">
      <selection activeCell="M8" sqref="M8"/>
    </sheetView>
  </sheetViews>
  <sheetFormatPr defaultRowHeight="15" x14ac:dyDescent="0.3"/>
  <cols>
    <col min="1" max="1" width="7.140625" style="1" customWidth="1"/>
    <col min="2" max="2" width="13.7109375" style="1" customWidth="1"/>
    <col min="3" max="3" width="9" style="1" customWidth="1"/>
    <col min="4" max="4" width="8.85546875" style="1" customWidth="1"/>
    <col min="5" max="5" width="10.42578125" style="1" customWidth="1"/>
    <col min="6" max="6" width="7.28515625" style="1" customWidth="1"/>
    <col min="7" max="7" width="10.28515625" style="1" customWidth="1"/>
    <col min="8" max="8" width="6.7109375" style="3" customWidth="1"/>
    <col min="9" max="9" width="10.7109375" style="1" customWidth="1"/>
    <col min="10" max="10" width="8.28515625" style="1" customWidth="1"/>
    <col min="11" max="11" width="12.7109375" style="2" customWidth="1"/>
    <col min="12" max="12" width="11.85546875" style="2" customWidth="1"/>
    <col min="13" max="13" width="9.140625" style="1"/>
    <col min="14" max="14" width="6" style="1" customWidth="1"/>
    <col min="15" max="16384" width="9.140625" style="1"/>
  </cols>
  <sheetData>
    <row r="1" spans="1:12" ht="18" x14ac:dyDescent="0.35">
      <c r="A1" s="11" t="s">
        <v>44</v>
      </c>
      <c r="K1" s="33" t="s">
        <v>71</v>
      </c>
      <c r="L1" s="33" t="s">
        <v>58</v>
      </c>
    </row>
    <row r="2" spans="1:12" ht="19.5" x14ac:dyDescent="0.4">
      <c r="B2" s="22"/>
      <c r="D2" s="71" t="s">
        <v>43</v>
      </c>
      <c r="E2" s="10" t="str">
        <f>IF($K$5=1,"&lt;--",IF($K$5=6,"&lt;-- --&gt;","--&gt;"))</f>
        <v>--&gt;</v>
      </c>
      <c r="F2" s="35" t="str">
        <f>IF($K$5=8, "...unitless scale for Pauling EN","")</f>
        <v/>
      </c>
      <c r="H2" s="1"/>
      <c r="J2" s="34" t="s">
        <v>72</v>
      </c>
      <c r="K2" s="3">
        <v>3</v>
      </c>
      <c r="L2" s="3" t="str">
        <f>VLOOKUP(K2,Q26:R63,2)</f>
        <v>Li</v>
      </c>
    </row>
    <row r="3" spans="1:12" ht="13.5" customHeight="1" x14ac:dyDescent="0.4">
      <c r="B3" s="22"/>
      <c r="D3" s="6"/>
      <c r="E3" s="10"/>
      <c r="F3" s="7" t="str">
        <f>IF($K$5=5,"- - - - - (zero line for energy scale on right side)","")</f>
        <v/>
      </c>
      <c r="K3" s="3"/>
      <c r="L3" s="3"/>
    </row>
    <row r="4" spans="1:12" x14ac:dyDescent="0.3">
      <c r="D4" s="1">
        <f>K2</f>
        <v>3</v>
      </c>
      <c r="E4" s="1">
        <f>VLOOKUP($K$2,$B$26:$N$63,5)</f>
        <v>-10</v>
      </c>
      <c r="F4" s="1">
        <f>VLOOKUP($K$2,$B$26:$N$63,7)</f>
        <v>0.52</v>
      </c>
      <c r="G4" s="1">
        <f>IF(D4=1,-25,VLOOKUP($K$2,$B$26:$N$63,9))</f>
        <v>-10</v>
      </c>
      <c r="H4" s="1">
        <f>VLOOKUP($K$2,$B$26:$N$63,11)</f>
        <v>-10</v>
      </c>
      <c r="I4" s="1">
        <f>VLOOKUP($K$2,$B$26:$N$63,13)</f>
        <v>-10</v>
      </c>
      <c r="K4" s="15" t="s">
        <v>46</v>
      </c>
      <c r="L4" s="1"/>
    </row>
    <row r="5" spans="1:12" x14ac:dyDescent="0.3">
      <c r="K5" s="21">
        <v>2</v>
      </c>
      <c r="L5" s="1"/>
    </row>
    <row r="6" spans="1:12" x14ac:dyDescent="0.3">
      <c r="K6" s="1"/>
      <c r="L6" s="1"/>
    </row>
    <row r="7" spans="1:12" x14ac:dyDescent="0.3">
      <c r="K7" s="1"/>
      <c r="L7" s="1"/>
    </row>
    <row r="8" spans="1:12" x14ac:dyDescent="0.3">
      <c r="F8" s="8">
        <v>0</v>
      </c>
      <c r="G8" s="9">
        <f>IF($K$5=5,0,-10)</f>
        <v>-10</v>
      </c>
      <c r="K8" s="1"/>
      <c r="L8" s="1"/>
    </row>
    <row r="9" spans="1:12" x14ac:dyDescent="0.3">
      <c r="F9" s="8">
        <v>37</v>
      </c>
      <c r="G9" s="9">
        <f>IF($K$5=5,0,-10)</f>
        <v>-10</v>
      </c>
      <c r="K9" s="1"/>
      <c r="L9" s="1"/>
    </row>
    <row r="10" spans="1:12" x14ac:dyDescent="0.3">
      <c r="K10" s="1"/>
      <c r="L10" s="1"/>
    </row>
    <row r="11" spans="1:12" x14ac:dyDescent="0.3">
      <c r="K11" s="1"/>
      <c r="L11" s="1"/>
    </row>
    <row r="12" spans="1:12" x14ac:dyDescent="0.3">
      <c r="K12" s="1"/>
      <c r="L12" s="1"/>
    </row>
    <row r="17" spans="1:18" x14ac:dyDescent="0.3">
      <c r="K17" s="2" t="s">
        <v>154</v>
      </c>
    </row>
    <row r="20" spans="1:18" x14ac:dyDescent="0.3">
      <c r="K20" s="2" t="s">
        <v>50</v>
      </c>
    </row>
    <row r="24" spans="1:18" x14ac:dyDescent="0.3">
      <c r="E24" s="47" t="s">
        <v>153</v>
      </c>
    </row>
    <row r="25" spans="1:18" ht="15.75" thickBot="1" x14ac:dyDescent="0.35">
      <c r="A25" s="12" t="s">
        <v>45</v>
      </c>
      <c r="B25" s="12" t="s">
        <v>0</v>
      </c>
      <c r="C25" s="12" t="s">
        <v>41</v>
      </c>
      <c r="D25" s="12" t="s">
        <v>42</v>
      </c>
      <c r="E25" s="12" t="s">
        <v>1</v>
      </c>
      <c r="F25" s="12"/>
      <c r="G25" s="13" t="s">
        <v>2</v>
      </c>
      <c r="H25" s="32"/>
      <c r="I25" s="13" t="s">
        <v>3</v>
      </c>
      <c r="J25" s="13"/>
      <c r="K25" s="14" t="s">
        <v>4</v>
      </c>
      <c r="L25" s="14"/>
      <c r="M25" s="12" t="s">
        <v>49</v>
      </c>
      <c r="N25" s="12"/>
    </row>
    <row r="26" spans="1:18" x14ac:dyDescent="0.3">
      <c r="A26" s="3" t="s">
        <v>5</v>
      </c>
      <c r="B26" s="3">
        <v>1</v>
      </c>
      <c r="C26" s="3">
        <v>1</v>
      </c>
      <c r="D26" s="3">
        <v>0</v>
      </c>
      <c r="E26" s="3">
        <v>37</v>
      </c>
      <c r="F26" s="18">
        <f>IF(OR($K$5=1,$K$5=6),E26,-10)</f>
        <v>-10</v>
      </c>
      <c r="G26" s="4">
        <v>1.31</v>
      </c>
      <c r="H26" s="19">
        <f>IF(OR($K$5=2,$K$5=4,$K$5=6,$K$5=7),G26,-10)</f>
        <v>1.31</v>
      </c>
      <c r="I26" s="4"/>
      <c r="J26" s="19">
        <f>IF(OR($K$5=3,$K$5=4,$K$5=7),I26,-10)</f>
        <v>-10</v>
      </c>
      <c r="K26" s="5">
        <f>72.8/1000</f>
        <v>7.2800000000000004E-2</v>
      </c>
      <c r="L26" s="20">
        <f>IF(OR($K$5=5,$K$5=7),K26,-10)</f>
        <v>-10</v>
      </c>
      <c r="M26" s="1">
        <v>2.2000000000000002</v>
      </c>
      <c r="N26" s="21">
        <f>IF($K$5=8,M26,-10)</f>
        <v>-10</v>
      </c>
      <c r="Q26" s="18">
        <v>1</v>
      </c>
      <c r="R26" s="18" t="s">
        <v>5</v>
      </c>
    </row>
    <row r="27" spans="1:18" x14ac:dyDescent="0.3">
      <c r="A27" s="3" t="s">
        <v>6</v>
      </c>
      <c r="B27" s="3">
        <v>2</v>
      </c>
      <c r="C27" s="3">
        <v>1</v>
      </c>
      <c r="D27" s="3">
        <v>8</v>
      </c>
      <c r="E27" s="3">
        <v>32</v>
      </c>
      <c r="F27" s="18">
        <f t="shared" ref="F27:F63" si="0">IF(OR($K$5=1,$K$5=6),E27,-10)</f>
        <v>-10</v>
      </c>
      <c r="G27" s="4">
        <v>2.37</v>
      </c>
      <c r="H27" s="19">
        <f t="shared" ref="H27:H63" si="1">IF(OR($K$5=2,$K$5=4,$K$5=6,$K$5=7),G27,-10)</f>
        <v>2.37</v>
      </c>
      <c r="I27" s="4">
        <v>5.25</v>
      </c>
      <c r="J27" s="19">
        <f>IF(OR($K$5=3,$K$5=4,$K$5=7),I27,-10)</f>
        <v>-10</v>
      </c>
      <c r="K27" s="5">
        <f>-50/1000</f>
        <v>-0.05</v>
      </c>
      <c r="L27" s="20">
        <f t="shared" ref="L27:L63" si="2">IF(OR($K$5=5,$K$5=7),K27,-10)</f>
        <v>-10</v>
      </c>
      <c r="M27" s="1">
        <v>5.2</v>
      </c>
      <c r="N27" s="21">
        <f t="shared" ref="N27:N63" si="3">IF($K$5=8,M27,-10)</f>
        <v>-10</v>
      </c>
      <c r="Q27" s="18">
        <v>2</v>
      </c>
      <c r="R27" s="18" t="s">
        <v>6</v>
      </c>
    </row>
    <row r="28" spans="1:18" x14ac:dyDescent="0.3">
      <c r="A28" s="3" t="s">
        <v>7</v>
      </c>
      <c r="B28" s="3">
        <v>3</v>
      </c>
      <c r="C28" s="3">
        <v>2</v>
      </c>
      <c r="D28" s="3">
        <v>1</v>
      </c>
      <c r="E28" s="3">
        <v>134</v>
      </c>
      <c r="F28" s="18">
        <f t="shared" si="0"/>
        <v>-10</v>
      </c>
      <c r="G28" s="4">
        <v>0.52</v>
      </c>
      <c r="H28" s="19">
        <f t="shared" si="1"/>
        <v>0.52</v>
      </c>
      <c r="I28" s="4">
        <v>7.3</v>
      </c>
      <c r="J28" s="19">
        <f t="shared" ref="J28:J63" si="4">IF(OR($K$5=3,$K$5=4,$K$5=7),I28,-10)</f>
        <v>-10</v>
      </c>
      <c r="K28" s="5">
        <v>5.96E-2</v>
      </c>
      <c r="L28" s="20">
        <f t="shared" si="2"/>
        <v>-10</v>
      </c>
      <c r="M28" s="1">
        <v>0.98</v>
      </c>
      <c r="N28" s="21">
        <f t="shared" si="3"/>
        <v>-10</v>
      </c>
      <c r="Q28" s="18">
        <v>3</v>
      </c>
      <c r="R28" s="18" t="s">
        <v>7</v>
      </c>
    </row>
    <row r="29" spans="1:18" x14ac:dyDescent="0.3">
      <c r="A29" s="3" t="s">
        <v>8</v>
      </c>
      <c r="B29" s="3">
        <v>4</v>
      </c>
      <c r="C29" s="3">
        <v>2</v>
      </c>
      <c r="D29" s="3">
        <v>2</v>
      </c>
      <c r="E29" s="3">
        <v>90</v>
      </c>
      <c r="F29" s="18">
        <f t="shared" si="0"/>
        <v>-10</v>
      </c>
      <c r="G29" s="4">
        <v>0.9</v>
      </c>
      <c r="H29" s="19">
        <f t="shared" si="1"/>
        <v>0.9</v>
      </c>
      <c r="I29" s="4">
        <v>1.76</v>
      </c>
      <c r="J29" s="19">
        <f t="shared" si="4"/>
        <v>-10</v>
      </c>
      <c r="K29" s="5">
        <v>0.05</v>
      </c>
      <c r="L29" s="20">
        <f t="shared" si="2"/>
        <v>-10</v>
      </c>
      <c r="M29" s="1">
        <v>1.57</v>
      </c>
      <c r="N29" s="21">
        <f t="shared" si="3"/>
        <v>-10</v>
      </c>
      <c r="Q29" s="18">
        <v>4</v>
      </c>
      <c r="R29" s="18" t="s">
        <v>8</v>
      </c>
    </row>
    <row r="30" spans="1:18" x14ac:dyDescent="0.3">
      <c r="A30" s="3" t="s">
        <v>9</v>
      </c>
      <c r="B30" s="3">
        <v>5</v>
      </c>
      <c r="C30" s="3">
        <v>2</v>
      </c>
      <c r="D30" s="3">
        <v>3</v>
      </c>
      <c r="E30" s="3">
        <v>82</v>
      </c>
      <c r="F30" s="18">
        <f t="shared" si="0"/>
        <v>-10</v>
      </c>
      <c r="G30" s="4">
        <v>0.8</v>
      </c>
      <c r="H30" s="19">
        <f t="shared" si="1"/>
        <v>0.8</v>
      </c>
      <c r="I30" s="4">
        <v>2.4300000000000002</v>
      </c>
      <c r="J30" s="19">
        <f t="shared" si="4"/>
        <v>-10</v>
      </c>
      <c r="K30" s="5">
        <v>2.6700000000000002E-2</v>
      </c>
      <c r="L30" s="20">
        <f t="shared" si="2"/>
        <v>-10</v>
      </c>
      <c r="M30" s="1">
        <v>2.04</v>
      </c>
      <c r="N30" s="21">
        <f t="shared" si="3"/>
        <v>-10</v>
      </c>
      <c r="Q30" s="18">
        <v>5</v>
      </c>
      <c r="R30" s="18" t="s">
        <v>9</v>
      </c>
    </row>
    <row r="31" spans="1:18" x14ac:dyDescent="0.3">
      <c r="A31" s="3" t="s">
        <v>10</v>
      </c>
      <c r="B31" s="3">
        <v>6</v>
      </c>
      <c r="C31" s="3">
        <v>2</v>
      </c>
      <c r="D31" s="3">
        <v>4</v>
      </c>
      <c r="E31" s="3">
        <v>77</v>
      </c>
      <c r="F31" s="18">
        <f t="shared" si="0"/>
        <v>-10</v>
      </c>
      <c r="G31" s="4">
        <v>1.0900000000000001</v>
      </c>
      <c r="H31" s="19">
        <f t="shared" si="1"/>
        <v>1.0900000000000001</v>
      </c>
      <c r="I31" s="4">
        <v>2.35</v>
      </c>
      <c r="J31" s="19">
        <f t="shared" si="4"/>
        <v>-10</v>
      </c>
      <c r="K31" s="5">
        <v>0.12189999999999999</v>
      </c>
      <c r="L31" s="20">
        <f t="shared" si="2"/>
        <v>-10</v>
      </c>
      <c r="M31" s="1">
        <v>2.5499999999999998</v>
      </c>
      <c r="N31" s="21">
        <f t="shared" si="3"/>
        <v>-10</v>
      </c>
      <c r="Q31" s="18">
        <v>6</v>
      </c>
      <c r="R31" s="18" t="s">
        <v>10</v>
      </c>
    </row>
    <row r="32" spans="1:18" x14ac:dyDescent="0.3">
      <c r="A32" s="3" t="s">
        <v>11</v>
      </c>
      <c r="B32" s="3">
        <v>7</v>
      </c>
      <c r="C32" s="3">
        <v>2</v>
      </c>
      <c r="D32" s="3">
        <v>5</v>
      </c>
      <c r="E32" s="3">
        <v>75</v>
      </c>
      <c r="F32" s="18">
        <f t="shared" si="0"/>
        <v>-10</v>
      </c>
      <c r="G32" s="4">
        <v>1.4</v>
      </c>
      <c r="H32" s="19">
        <f t="shared" si="1"/>
        <v>1.4</v>
      </c>
      <c r="I32" s="4">
        <v>2.86</v>
      </c>
      <c r="J32" s="19">
        <f t="shared" si="4"/>
        <v>-10</v>
      </c>
      <c r="K32" s="5">
        <v>-7.0000000000000001E-3</v>
      </c>
      <c r="L32" s="20">
        <f t="shared" si="2"/>
        <v>-10</v>
      </c>
      <c r="M32" s="1">
        <v>3.04</v>
      </c>
      <c r="N32" s="21">
        <f t="shared" si="3"/>
        <v>-10</v>
      </c>
      <c r="Q32" s="18">
        <v>7</v>
      </c>
      <c r="R32" s="18" t="s">
        <v>11</v>
      </c>
    </row>
    <row r="33" spans="1:18" x14ac:dyDescent="0.3">
      <c r="A33" s="3" t="s">
        <v>12</v>
      </c>
      <c r="B33" s="3">
        <v>8</v>
      </c>
      <c r="C33" s="3">
        <v>2</v>
      </c>
      <c r="D33" s="3">
        <v>6</v>
      </c>
      <c r="E33" s="3">
        <v>73</v>
      </c>
      <c r="F33" s="18">
        <f t="shared" si="0"/>
        <v>-10</v>
      </c>
      <c r="G33" s="4">
        <v>1.31</v>
      </c>
      <c r="H33" s="19">
        <f t="shared" si="1"/>
        <v>1.31</v>
      </c>
      <c r="I33" s="4">
        <v>3.39</v>
      </c>
      <c r="J33" s="19">
        <f t="shared" si="4"/>
        <v>-10</v>
      </c>
      <c r="K33" s="5">
        <v>0.14099999999999999</v>
      </c>
      <c r="L33" s="20">
        <f t="shared" si="2"/>
        <v>-10</v>
      </c>
      <c r="M33" s="1">
        <v>3.44</v>
      </c>
      <c r="N33" s="21">
        <f t="shared" si="3"/>
        <v>-10</v>
      </c>
      <c r="Q33" s="18">
        <v>8</v>
      </c>
      <c r="R33" s="18" t="s">
        <v>12</v>
      </c>
    </row>
    <row r="34" spans="1:18" x14ac:dyDescent="0.3">
      <c r="A34" s="3" t="s">
        <v>13</v>
      </c>
      <c r="B34" s="3">
        <v>9</v>
      </c>
      <c r="C34" s="3">
        <v>2</v>
      </c>
      <c r="D34" s="3">
        <v>7</v>
      </c>
      <c r="E34" s="3">
        <v>71</v>
      </c>
      <c r="F34" s="18">
        <f t="shared" si="0"/>
        <v>-10</v>
      </c>
      <c r="G34" s="4">
        <v>1.68</v>
      </c>
      <c r="H34" s="19">
        <f t="shared" si="1"/>
        <v>1.68</v>
      </c>
      <c r="I34" s="4">
        <v>3.37</v>
      </c>
      <c r="J34" s="19">
        <f t="shared" si="4"/>
        <v>-10</v>
      </c>
      <c r="K34" s="5">
        <v>0.32800000000000001</v>
      </c>
      <c r="L34" s="20">
        <f t="shared" si="2"/>
        <v>-10</v>
      </c>
      <c r="M34" s="1">
        <v>3.98</v>
      </c>
      <c r="N34" s="21">
        <f t="shared" si="3"/>
        <v>-10</v>
      </c>
      <c r="Q34" s="18">
        <v>9</v>
      </c>
      <c r="R34" s="18" t="s">
        <v>13</v>
      </c>
    </row>
    <row r="35" spans="1:18" x14ac:dyDescent="0.3">
      <c r="A35" s="3" t="s">
        <v>14</v>
      </c>
      <c r="B35" s="3">
        <v>10</v>
      </c>
      <c r="C35" s="3">
        <v>2</v>
      </c>
      <c r="D35" s="3">
        <v>8</v>
      </c>
      <c r="E35" s="3">
        <v>69</v>
      </c>
      <c r="F35" s="18">
        <f t="shared" si="0"/>
        <v>-10</v>
      </c>
      <c r="G35" s="4">
        <v>2.08</v>
      </c>
      <c r="H35" s="19">
        <f t="shared" si="1"/>
        <v>2.08</v>
      </c>
      <c r="I35" s="4">
        <v>3.95</v>
      </c>
      <c r="J35" s="19">
        <f t="shared" si="4"/>
        <v>-10</v>
      </c>
      <c r="K35" s="5">
        <v>-0.11600000000000001</v>
      </c>
      <c r="L35" s="20">
        <f t="shared" si="2"/>
        <v>-10</v>
      </c>
      <c r="M35" s="1">
        <v>4.5</v>
      </c>
      <c r="N35" s="21">
        <f t="shared" si="3"/>
        <v>-10</v>
      </c>
      <c r="Q35" s="18">
        <v>10</v>
      </c>
      <c r="R35" s="18" t="s">
        <v>14</v>
      </c>
    </row>
    <row r="36" spans="1:18" x14ac:dyDescent="0.3">
      <c r="A36" s="3" t="s">
        <v>15</v>
      </c>
      <c r="B36" s="3">
        <v>11</v>
      </c>
      <c r="C36" s="3">
        <v>3</v>
      </c>
      <c r="D36" s="3">
        <v>1</v>
      </c>
      <c r="E36" s="3">
        <v>154</v>
      </c>
      <c r="F36" s="18">
        <f t="shared" si="0"/>
        <v>-10</v>
      </c>
      <c r="G36" s="4">
        <v>0.5</v>
      </c>
      <c r="H36" s="19">
        <f t="shared" si="1"/>
        <v>0.5</v>
      </c>
      <c r="I36" s="4">
        <v>4.5599999999999996</v>
      </c>
      <c r="J36" s="19">
        <f t="shared" si="4"/>
        <v>-10</v>
      </c>
      <c r="K36" s="5">
        <v>5.2900000000000003E-2</v>
      </c>
      <c r="L36" s="20">
        <f t="shared" si="2"/>
        <v>-10</v>
      </c>
      <c r="M36" s="1">
        <v>0.93</v>
      </c>
      <c r="N36" s="21">
        <f t="shared" si="3"/>
        <v>-10</v>
      </c>
      <c r="Q36" s="18">
        <v>11</v>
      </c>
      <c r="R36" s="18" t="s">
        <v>15</v>
      </c>
    </row>
    <row r="37" spans="1:18" x14ac:dyDescent="0.3">
      <c r="A37" s="3" t="s">
        <v>16</v>
      </c>
      <c r="B37" s="3">
        <v>12</v>
      </c>
      <c r="C37" s="3">
        <v>3</v>
      </c>
      <c r="D37" s="3">
        <v>2</v>
      </c>
      <c r="E37" s="3">
        <v>130</v>
      </c>
      <c r="F37" s="18">
        <f t="shared" si="0"/>
        <v>-10</v>
      </c>
      <c r="G37" s="4">
        <v>0.74</v>
      </c>
      <c r="H37" s="19">
        <f t="shared" si="1"/>
        <v>0.74</v>
      </c>
      <c r="I37" s="4">
        <v>1.45</v>
      </c>
      <c r="J37" s="19">
        <f t="shared" si="4"/>
        <v>-10</v>
      </c>
      <c r="K37" s="5">
        <v>-3.9E-2</v>
      </c>
      <c r="L37" s="20">
        <f t="shared" si="2"/>
        <v>-10</v>
      </c>
      <c r="M37" s="1">
        <v>1.31</v>
      </c>
      <c r="N37" s="21">
        <f t="shared" si="3"/>
        <v>-10</v>
      </c>
      <c r="Q37" s="18">
        <v>12</v>
      </c>
      <c r="R37" s="18" t="s">
        <v>16</v>
      </c>
    </row>
    <row r="38" spans="1:18" x14ac:dyDescent="0.3">
      <c r="A38" s="3" t="s">
        <v>17</v>
      </c>
      <c r="B38" s="3">
        <v>13</v>
      </c>
      <c r="C38" s="3">
        <v>3</v>
      </c>
      <c r="D38" s="3">
        <v>3</v>
      </c>
      <c r="E38" s="3">
        <v>118</v>
      </c>
      <c r="F38" s="18">
        <f t="shared" si="0"/>
        <v>-10</v>
      </c>
      <c r="G38" s="4">
        <v>0.57999999999999996</v>
      </c>
      <c r="H38" s="19">
        <f t="shared" si="1"/>
        <v>0.57999999999999996</v>
      </c>
      <c r="I38" s="4">
        <v>1.82</v>
      </c>
      <c r="J38" s="19">
        <f t="shared" si="4"/>
        <v>-10</v>
      </c>
      <c r="K38" s="5">
        <v>0.42599999999999999</v>
      </c>
      <c r="L38" s="20">
        <f t="shared" si="2"/>
        <v>-10</v>
      </c>
      <c r="M38" s="1">
        <v>1.61</v>
      </c>
      <c r="N38" s="21">
        <f t="shared" si="3"/>
        <v>-10</v>
      </c>
      <c r="Q38" s="18">
        <v>13</v>
      </c>
      <c r="R38" s="18" t="s">
        <v>17</v>
      </c>
    </row>
    <row r="39" spans="1:18" x14ac:dyDescent="0.3">
      <c r="A39" s="3" t="s">
        <v>18</v>
      </c>
      <c r="B39" s="3">
        <v>14</v>
      </c>
      <c r="C39" s="3">
        <v>3</v>
      </c>
      <c r="D39" s="3">
        <v>4</v>
      </c>
      <c r="E39" s="3">
        <v>111</v>
      </c>
      <c r="F39" s="18">
        <f t="shared" si="0"/>
        <v>-10</v>
      </c>
      <c r="G39" s="4">
        <v>0.79</v>
      </c>
      <c r="H39" s="19">
        <f t="shared" si="1"/>
        <v>0.79</v>
      </c>
      <c r="I39" s="4">
        <v>1.58</v>
      </c>
      <c r="J39" s="19">
        <f t="shared" si="4"/>
        <v>-10</v>
      </c>
      <c r="K39" s="5">
        <v>0.1336</v>
      </c>
      <c r="L39" s="20">
        <f t="shared" si="2"/>
        <v>-10</v>
      </c>
      <c r="M39" s="1">
        <v>1.9</v>
      </c>
      <c r="N39" s="21">
        <f t="shared" si="3"/>
        <v>-10</v>
      </c>
      <c r="Q39" s="18">
        <v>14</v>
      </c>
      <c r="R39" s="18" t="s">
        <v>18</v>
      </c>
    </row>
    <row r="40" spans="1:18" x14ac:dyDescent="0.3">
      <c r="A40" s="3" t="s">
        <v>19</v>
      </c>
      <c r="B40" s="3">
        <v>15</v>
      </c>
      <c r="C40" s="3">
        <v>3</v>
      </c>
      <c r="D40" s="3">
        <v>5</v>
      </c>
      <c r="E40" s="3">
        <v>106</v>
      </c>
      <c r="F40" s="18">
        <f t="shared" si="0"/>
        <v>-10</v>
      </c>
      <c r="G40" s="4">
        <v>1.01</v>
      </c>
      <c r="H40" s="19">
        <f t="shared" si="1"/>
        <v>1.01</v>
      </c>
      <c r="I40" s="4">
        <v>1.9</v>
      </c>
      <c r="J40" s="19">
        <f t="shared" si="4"/>
        <v>-10</v>
      </c>
      <c r="K40" s="5">
        <v>7.1999999999999995E-2</v>
      </c>
      <c r="L40" s="20">
        <f t="shared" si="2"/>
        <v>-10</v>
      </c>
      <c r="M40" s="1">
        <v>2.19</v>
      </c>
      <c r="N40" s="21">
        <f t="shared" si="3"/>
        <v>-10</v>
      </c>
      <c r="Q40" s="18">
        <v>15</v>
      </c>
      <c r="R40" s="18" t="s">
        <v>19</v>
      </c>
    </row>
    <row r="41" spans="1:18" x14ac:dyDescent="0.3">
      <c r="A41" s="3" t="s">
        <v>20</v>
      </c>
      <c r="B41" s="3">
        <v>16</v>
      </c>
      <c r="C41" s="3">
        <v>3</v>
      </c>
      <c r="D41" s="3">
        <v>6</v>
      </c>
      <c r="E41" s="3">
        <v>102</v>
      </c>
      <c r="F41" s="18">
        <f t="shared" si="0"/>
        <v>-10</v>
      </c>
      <c r="G41" s="4">
        <v>1</v>
      </c>
      <c r="H41" s="19">
        <f t="shared" si="1"/>
        <v>1</v>
      </c>
      <c r="I41" s="4">
        <v>2.25</v>
      </c>
      <c r="J41" s="19">
        <f t="shared" si="4"/>
        <v>-10</v>
      </c>
      <c r="K41" s="5">
        <v>0.20039999999999999</v>
      </c>
      <c r="L41" s="20">
        <f t="shared" si="2"/>
        <v>-10</v>
      </c>
      <c r="M41" s="1">
        <v>2.58</v>
      </c>
      <c r="N41" s="21">
        <f t="shared" si="3"/>
        <v>-10</v>
      </c>
      <c r="Q41" s="18">
        <v>16</v>
      </c>
      <c r="R41" s="18" t="s">
        <v>20</v>
      </c>
    </row>
    <row r="42" spans="1:18" x14ac:dyDescent="0.3">
      <c r="A42" s="3" t="s">
        <v>21</v>
      </c>
      <c r="B42" s="3">
        <v>17</v>
      </c>
      <c r="C42" s="3">
        <v>3</v>
      </c>
      <c r="D42" s="3">
        <v>7</v>
      </c>
      <c r="E42" s="3">
        <v>99</v>
      </c>
      <c r="F42" s="18">
        <f t="shared" si="0"/>
        <v>-10</v>
      </c>
      <c r="G42" s="4">
        <v>1.25</v>
      </c>
      <c r="H42" s="19">
        <f t="shared" si="1"/>
        <v>1.25</v>
      </c>
      <c r="I42" s="4">
        <v>2.2999999999999998</v>
      </c>
      <c r="J42" s="19">
        <f t="shared" si="4"/>
        <v>-10</v>
      </c>
      <c r="K42" s="5">
        <v>0.34899999999999998</v>
      </c>
      <c r="L42" s="20">
        <f t="shared" si="2"/>
        <v>-10</v>
      </c>
      <c r="M42" s="1">
        <v>3.16</v>
      </c>
      <c r="N42" s="21">
        <f t="shared" si="3"/>
        <v>-10</v>
      </c>
      <c r="Q42" s="18">
        <v>17</v>
      </c>
      <c r="R42" s="18" t="s">
        <v>21</v>
      </c>
    </row>
    <row r="43" spans="1:18" x14ac:dyDescent="0.3">
      <c r="A43" s="3" t="s">
        <v>22</v>
      </c>
      <c r="B43" s="3">
        <v>18</v>
      </c>
      <c r="C43" s="3">
        <v>3</v>
      </c>
      <c r="D43" s="3">
        <v>8</v>
      </c>
      <c r="E43" s="3">
        <v>97</v>
      </c>
      <c r="F43" s="18">
        <f t="shared" si="0"/>
        <v>-10</v>
      </c>
      <c r="G43" s="4">
        <v>1.52</v>
      </c>
      <c r="H43" s="19">
        <f t="shared" si="1"/>
        <v>1.52</v>
      </c>
      <c r="I43" s="4">
        <v>2.67</v>
      </c>
      <c r="J43" s="19">
        <f t="shared" si="4"/>
        <v>-10</v>
      </c>
      <c r="K43" s="5">
        <v>-9.7000000000000003E-2</v>
      </c>
      <c r="L43" s="20">
        <f t="shared" si="2"/>
        <v>-10</v>
      </c>
      <c r="M43" s="1">
        <v>3.2</v>
      </c>
      <c r="N43" s="21">
        <f t="shared" si="3"/>
        <v>-10</v>
      </c>
      <c r="Q43" s="18">
        <v>18</v>
      </c>
      <c r="R43" s="18" t="s">
        <v>22</v>
      </c>
    </row>
    <row r="44" spans="1:18" x14ac:dyDescent="0.3">
      <c r="A44" s="3" t="s">
        <v>23</v>
      </c>
      <c r="B44" s="3">
        <v>19</v>
      </c>
      <c r="C44" s="3">
        <v>4</v>
      </c>
      <c r="D44" s="3">
        <v>1</v>
      </c>
      <c r="E44" s="3">
        <v>196</v>
      </c>
      <c r="F44" s="18">
        <f t="shared" si="0"/>
        <v>-10</v>
      </c>
      <c r="G44" s="4">
        <v>0.42</v>
      </c>
      <c r="H44" s="19">
        <f t="shared" si="1"/>
        <v>0.42</v>
      </c>
      <c r="I44" s="4">
        <v>3.05</v>
      </c>
      <c r="J44" s="19">
        <f t="shared" si="4"/>
        <v>-10</v>
      </c>
      <c r="K44" s="5">
        <v>4.8399999999999999E-2</v>
      </c>
      <c r="L44" s="20">
        <f t="shared" si="2"/>
        <v>-10</v>
      </c>
      <c r="M44" s="1">
        <v>0.82</v>
      </c>
      <c r="N44" s="21">
        <f t="shared" si="3"/>
        <v>-10</v>
      </c>
      <c r="Q44" s="18">
        <v>19</v>
      </c>
      <c r="R44" s="18" t="s">
        <v>23</v>
      </c>
    </row>
    <row r="45" spans="1:18" x14ac:dyDescent="0.3">
      <c r="A45" s="3" t="s">
        <v>24</v>
      </c>
      <c r="B45" s="3">
        <v>20</v>
      </c>
      <c r="C45" s="3">
        <v>4</v>
      </c>
      <c r="D45" s="3">
        <v>2</v>
      </c>
      <c r="E45" s="3">
        <v>174</v>
      </c>
      <c r="F45" s="18">
        <f t="shared" si="0"/>
        <v>-10</v>
      </c>
      <c r="G45" s="4">
        <v>0.59</v>
      </c>
      <c r="H45" s="19">
        <f t="shared" si="1"/>
        <v>0.59</v>
      </c>
      <c r="I45" s="4">
        <v>1.1499999999999999</v>
      </c>
      <c r="J45" s="19">
        <f t="shared" si="4"/>
        <v>-10</v>
      </c>
      <c r="K45" s="5">
        <v>-2.9000000000000001E-2</v>
      </c>
      <c r="L45" s="20">
        <f t="shared" si="2"/>
        <v>-10</v>
      </c>
      <c r="M45" s="1">
        <v>1</v>
      </c>
      <c r="N45" s="21">
        <f t="shared" si="3"/>
        <v>-10</v>
      </c>
      <c r="Q45" s="18">
        <v>20</v>
      </c>
      <c r="R45" s="18" t="s">
        <v>24</v>
      </c>
    </row>
    <row r="46" spans="1:18" x14ac:dyDescent="0.3">
      <c r="A46" s="3" t="s">
        <v>25</v>
      </c>
      <c r="B46" s="3">
        <v>21</v>
      </c>
      <c r="C46" s="3">
        <v>4</v>
      </c>
      <c r="D46" s="3" t="s">
        <v>9</v>
      </c>
      <c r="E46" s="3">
        <v>144</v>
      </c>
      <c r="F46" s="18">
        <f t="shared" si="0"/>
        <v>-10</v>
      </c>
      <c r="G46" s="24">
        <v>0.63</v>
      </c>
      <c r="H46" s="19">
        <f t="shared" si="1"/>
        <v>0.63</v>
      </c>
      <c r="I46" s="24">
        <v>1.23</v>
      </c>
      <c r="J46" s="19">
        <f t="shared" si="4"/>
        <v>-10</v>
      </c>
      <c r="K46" s="5">
        <v>1.7999999999999999E-2</v>
      </c>
      <c r="L46" s="20">
        <f t="shared" si="2"/>
        <v>-10</v>
      </c>
      <c r="M46" s="1">
        <v>1.36</v>
      </c>
      <c r="N46" s="21">
        <f t="shared" si="3"/>
        <v>-10</v>
      </c>
      <c r="Q46" s="18">
        <v>21</v>
      </c>
      <c r="R46" s="18" t="s">
        <v>25</v>
      </c>
    </row>
    <row r="47" spans="1:18" x14ac:dyDescent="0.3">
      <c r="A47" s="3" t="s">
        <v>26</v>
      </c>
      <c r="B47" s="3">
        <v>22</v>
      </c>
      <c r="C47" s="3">
        <v>4</v>
      </c>
      <c r="D47" s="3" t="s">
        <v>9</v>
      </c>
      <c r="E47" s="3">
        <v>136</v>
      </c>
      <c r="F47" s="18">
        <f t="shared" si="0"/>
        <v>-10</v>
      </c>
      <c r="G47" s="24">
        <v>0.66</v>
      </c>
      <c r="H47" s="19">
        <f t="shared" si="1"/>
        <v>0.66</v>
      </c>
      <c r="I47" s="24">
        <v>1.31</v>
      </c>
      <c r="J47" s="19">
        <f t="shared" si="4"/>
        <v>-10</v>
      </c>
      <c r="K47" s="5">
        <v>7.6E-3</v>
      </c>
      <c r="L47" s="20">
        <f t="shared" si="2"/>
        <v>-10</v>
      </c>
      <c r="M47" s="1">
        <v>1.54</v>
      </c>
      <c r="N47" s="21">
        <f t="shared" si="3"/>
        <v>-10</v>
      </c>
      <c r="Q47" s="18">
        <v>22</v>
      </c>
      <c r="R47" s="18" t="s">
        <v>26</v>
      </c>
    </row>
    <row r="48" spans="1:18" x14ac:dyDescent="0.3">
      <c r="A48" s="3" t="s">
        <v>27</v>
      </c>
      <c r="B48" s="3">
        <v>23</v>
      </c>
      <c r="C48" s="3">
        <v>4</v>
      </c>
      <c r="D48" s="3" t="s">
        <v>9</v>
      </c>
      <c r="E48" s="3">
        <v>125</v>
      </c>
      <c r="F48" s="18">
        <f t="shared" si="0"/>
        <v>-10</v>
      </c>
      <c r="G48" s="24">
        <v>0.65</v>
      </c>
      <c r="H48" s="19">
        <f t="shared" si="1"/>
        <v>0.65</v>
      </c>
      <c r="I48" s="24">
        <v>1.41</v>
      </c>
      <c r="J48" s="19">
        <f t="shared" si="4"/>
        <v>-10</v>
      </c>
      <c r="K48" s="5">
        <v>5.0700000000000002E-2</v>
      </c>
      <c r="L48" s="20">
        <f t="shared" si="2"/>
        <v>-10</v>
      </c>
      <c r="M48" s="1">
        <v>1.63</v>
      </c>
      <c r="N48" s="21">
        <f t="shared" si="3"/>
        <v>-10</v>
      </c>
      <c r="Q48" s="18">
        <v>23</v>
      </c>
      <c r="R48" s="18" t="s">
        <v>27</v>
      </c>
    </row>
    <row r="49" spans="1:18" x14ac:dyDescent="0.3">
      <c r="A49" s="3" t="s">
        <v>28</v>
      </c>
      <c r="B49" s="3">
        <v>24</v>
      </c>
      <c r="C49" s="3">
        <v>4</v>
      </c>
      <c r="D49" s="3" t="s">
        <v>9</v>
      </c>
      <c r="E49" s="3">
        <v>127</v>
      </c>
      <c r="F49" s="18">
        <f t="shared" si="0"/>
        <v>-10</v>
      </c>
      <c r="G49" s="24">
        <v>0.65</v>
      </c>
      <c r="H49" s="19">
        <f t="shared" si="1"/>
        <v>0.65</v>
      </c>
      <c r="I49" s="24">
        <v>1.59</v>
      </c>
      <c r="J49" s="19">
        <f t="shared" si="4"/>
        <v>-10</v>
      </c>
      <c r="K49" s="5">
        <v>6.4299999999999996E-2</v>
      </c>
      <c r="L49" s="20">
        <f t="shared" si="2"/>
        <v>-10</v>
      </c>
      <c r="M49" s="1">
        <v>1.66</v>
      </c>
      <c r="N49" s="21">
        <f t="shared" si="3"/>
        <v>-10</v>
      </c>
      <c r="Q49" s="18">
        <v>24</v>
      </c>
      <c r="R49" s="18" t="s">
        <v>28</v>
      </c>
    </row>
    <row r="50" spans="1:18" x14ac:dyDescent="0.3">
      <c r="A50" s="3" t="s">
        <v>29</v>
      </c>
      <c r="B50" s="3">
        <v>25</v>
      </c>
      <c r="C50" s="3">
        <v>4</v>
      </c>
      <c r="D50" s="3" t="s">
        <v>9</v>
      </c>
      <c r="E50" s="3">
        <v>124</v>
      </c>
      <c r="F50" s="18">
        <f t="shared" si="0"/>
        <v>-10</v>
      </c>
      <c r="G50" s="24">
        <v>0.72</v>
      </c>
      <c r="H50" s="19">
        <f t="shared" si="1"/>
        <v>0.72</v>
      </c>
      <c r="I50" s="24">
        <v>1.51</v>
      </c>
      <c r="J50" s="19">
        <f t="shared" si="4"/>
        <v>-10</v>
      </c>
      <c r="K50" s="5">
        <v>0</v>
      </c>
      <c r="L50" s="20">
        <f t="shared" si="2"/>
        <v>-10</v>
      </c>
      <c r="M50" s="1">
        <v>1.55</v>
      </c>
      <c r="N50" s="21">
        <f t="shared" si="3"/>
        <v>-10</v>
      </c>
      <c r="Q50" s="18">
        <v>25</v>
      </c>
      <c r="R50" s="18" t="s">
        <v>29</v>
      </c>
    </row>
    <row r="51" spans="1:18" x14ac:dyDescent="0.3">
      <c r="A51" s="3" t="s">
        <v>30</v>
      </c>
      <c r="B51" s="3">
        <v>26</v>
      </c>
      <c r="C51" s="3">
        <v>4</v>
      </c>
      <c r="D51" s="3" t="s">
        <v>9</v>
      </c>
      <c r="E51" s="3">
        <v>125</v>
      </c>
      <c r="F51" s="18">
        <f t="shared" si="0"/>
        <v>-10</v>
      </c>
      <c r="G51" s="24">
        <v>0.76</v>
      </c>
      <c r="H51" s="19">
        <f t="shared" si="1"/>
        <v>0.76</v>
      </c>
      <c r="I51" s="24">
        <v>1.56</v>
      </c>
      <c r="J51" s="19">
        <f t="shared" si="4"/>
        <v>-10</v>
      </c>
      <c r="K51" s="5">
        <v>1.5699999999999999E-2</v>
      </c>
      <c r="L51" s="20">
        <f t="shared" si="2"/>
        <v>-10</v>
      </c>
      <c r="M51" s="1">
        <v>1.83</v>
      </c>
      <c r="N51" s="21">
        <f t="shared" si="3"/>
        <v>-10</v>
      </c>
      <c r="Q51" s="18">
        <v>26</v>
      </c>
      <c r="R51" s="18" t="s">
        <v>30</v>
      </c>
    </row>
    <row r="52" spans="1:18" x14ac:dyDescent="0.3">
      <c r="A52" s="3" t="s">
        <v>31</v>
      </c>
      <c r="B52" s="3">
        <v>27</v>
      </c>
      <c r="C52" s="3">
        <v>4</v>
      </c>
      <c r="D52" s="3" t="s">
        <v>9</v>
      </c>
      <c r="E52" s="3">
        <v>126</v>
      </c>
      <c r="F52" s="18">
        <f t="shared" si="0"/>
        <v>-10</v>
      </c>
      <c r="G52" s="24">
        <v>0.76</v>
      </c>
      <c r="H52" s="19">
        <f t="shared" si="1"/>
        <v>0.76</v>
      </c>
      <c r="I52" s="24">
        <v>1.65</v>
      </c>
      <c r="J52" s="19">
        <f t="shared" si="4"/>
        <v>-10</v>
      </c>
      <c r="K52" s="5">
        <v>6.3799999999999996E-2</v>
      </c>
      <c r="L52" s="20">
        <f t="shared" si="2"/>
        <v>-10</v>
      </c>
      <c r="M52" s="1">
        <v>1.88</v>
      </c>
      <c r="N52" s="21">
        <f t="shared" si="3"/>
        <v>-10</v>
      </c>
      <c r="Q52" s="18">
        <v>27</v>
      </c>
      <c r="R52" s="18" t="s">
        <v>31</v>
      </c>
    </row>
    <row r="53" spans="1:18" x14ac:dyDescent="0.3">
      <c r="A53" s="3" t="s">
        <v>32</v>
      </c>
      <c r="B53" s="3">
        <v>28</v>
      </c>
      <c r="C53" s="3">
        <v>4</v>
      </c>
      <c r="D53" s="3" t="s">
        <v>9</v>
      </c>
      <c r="E53" s="3">
        <v>121</v>
      </c>
      <c r="F53" s="18">
        <f t="shared" si="0"/>
        <v>-10</v>
      </c>
      <c r="G53" s="24">
        <v>0.74</v>
      </c>
      <c r="H53" s="19">
        <f t="shared" si="1"/>
        <v>0.74</v>
      </c>
      <c r="I53" s="24">
        <v>1.75</v>
      </c>
      <c r="J53" s="19">
        <f t="shared" si="4"/>
        <v>-10</v>
      </c>
      <c r="K53" s="5">
        <v>0.115</v>
      </c>
      <c r="L53" s="20">
        <f t="shared" si="2"/>
        <v>-10</v>
      </c>
      <c r="M53" s="1">
        <v>1.91</v>
      </c>
      <c r="N53" s="21">
        <f t="shared" si="3"/>
        <v>-10</v>
      </c>
      <c r="Q53" s="18">
        <v>28</v>
      </c>
      <c r="R53" s="18" t="s">
        <v>32</v>
      </c>
    </row>
    <row r="54" spans="1:18" x14ac:dyDescent="0.3">
      <c r="A54" s="3" t="s">
        <v>33</v>
      </c>
      <c r="B54" s="3">
        <v>29</v>
      </c>
      <c r="C54" s="3">
        <v>4</v>
      </c>
      <c r="D54" s="3" t="s">
        <v>9</v>
      </c>
      <c r="E54" s="3">
        <v>138</v>
      </c>
      <c r="F54" s="18">
        <f t="shared" si="0"/>
        <v>-10</v>
      </c>
      <c r="G54" s="24">
        <v>0.75</v>
      </c>
      <c r="H54" s="19">
        <f t="shared" si="1"/>
        <v>0.75</v>
      </c>
      <c r="I54" s="24">
        <v>1.96</v>
      </c>
      <c r="J54" s="19">
        <f t="shared" si="4"/>
        <v>-10</v>
      </c>
      <c r="K54" s="5">
        <v>0.11849999999999999</v>
      </c>
      <c r="L54" s="20">
        <f t="shared" si="2"/>
        <v>-10</v>
      </c>
      <c r="M54" s="1">
        <v>1.9</v>
      </c>
      <c r="N54" s="21">
        <f t="shared" si="3"/>
        <v>-10</v>
      </c>
      <c r="Q54" s="18">
        <v>29</v>
      </c>
      <c r="R54" s="18" t="s">
        <v>33</v>
      </c>
    </row>
    <row r="55" spans="1:18" x14ac:dyDescent="0.3">
      <c r="A55" s="3" t="s">
        <v>34</v>
      </c>
      <c r="B55" s="3">
        <v>30</v>
      </c>
      <c r="C55" s="3">
        <v>4</v>
      </c>
      <c r="D55" s="3" t="s">
        <v>9</v>
      </c>
      <c r="E55" s="3">
        <v>131</v>
      </c>
      <c r="F55" s="18">
        <f t="shared" si="0"/>
        <v>-10</v>
      </c>
      <c r="G55" s="24">
        <v>0.91</v>
      </c>
      <c r="H55" s="19">
        <f t="shared" si="1"/>
        <v>0.91</v>
      </c>
      <c r="I55" s="24">
        <v>1.73</v>
      </c>
      <c r="J55" s="19">
        <f t="shared" si="4"/>
        <v>-10</v>
      </c>
      <c r="K55" s="5">
        <v>-0.05</v>
      </c>
      <c r="L55" s="20">
        <f t="shared" si="2"/>
        <v>-10</v>
      </c>
      <c r="M55" s="1">
        <v>1.65</v>
      </c>
      <c r="N55" s="21">
        <f t="shared" si="3"/>
        <v>-10</v>
      </c>
      <c r="Q55" s="18">
        <v>30</v>
      </c>
      <c r="R55" s="18" t="s">
        <v>34</v>
      </c>
    </row>
    <row r="56" spans="1:18" x14ac:dyDescent="0.3">
      <c r="A56" s="3" t="s">
        <v>35</v>
      </c>
      <c r="B56" s="3">
        <v>31</v>
      </c>
      <c r="C56" s="3">
        <v>4</v>
      </c>
      <c r="D56" s="3">
        <v>3</v>
      </c>
      <c r="E56" s="3">
        <v>126</v>
      </c>
      <c r="F56" s="18">
        <f t="shared" si="0"/>
        <v>-10</v>
      </c>
      <c r="G56" s="24">
        <v>0.57999999999999996</v>
      </c>
      <c r="H56" s="19">
        <f t="shared" si="1"/>
        <v>0.57999999999999996</v>
      </c>
      <c r="I56" s="24">
        <v>1.98</v>
      </c>
      <c r="J56" s="19">
        <f t="shared" si="4"/>
        <v>-10</v>
      </c>
      <c r="K56" s="5">
        <v>2.9000000000000001E-2</v>
      </c>
      <c r="L56" s="20">
        <f t="shared" si="2"/>
        <v>-10</v>
      </c>
      <c r="M56" s="1">
        <v>1.81</v>
      </c>
      <c r="N56" s="21">
        <f t="shared" si="3"/>
        <v>-10</v>
      </c>
      <c r="Q56" s="18">
        <v>31</v>
      </c>
      <c r="R56" s="18" t="s">
        <v>35</v>
      </c>
    </row>
    <row r="57" spans="1:18" x14ac:dyDescent="0.3">
      <c r="A57" s="3" t="s">
        <v>36</v>
      </c>
      <c r="B57" s="3">
        <v>32</v>
      </c>
      <c r="C57" s="3">
        <v>4</v>
      </c>
      <c r="D57" s="3">
        <v>4</v>
      </c>
      <c r="E57" s="3">
        <v>122</v>
      </c>
      <c r="F57" s="18">
        <f t="shared" si="0"/>
        <v>-10</v>
      </c>
      <c r="G57" s="24">
        <v>0.76</v>
      </c>
      <c r="H57" s="19">
        <f t="shared" si="1"/>
        <v>0.76</v>
      </c>
      <c r="I57" s="24">
        <v>1.54</v>
      </c>
      <c r="J57" s="19">
        <f t="shared" si="4"/>
        <v>-10</v>
      </c>
      <c r="K57" s="5">
        <v>0.1158</v>
      </c>
      <c r="L57" s="20">
        <f t="shared" si="2"/>
        <v>-10</v>
      </c>
      <c r="M57" s="1">
        <v>2.0099999999999998</v>
      </c>
      <c r="N57" s="21">
        <f t="shared" si="3"/>
        <v>-10</v>
      </c>
      <c r="Q57" s="18">
        <v>32</v>
      </c>
      <c r="R57" s="18" t="s">
        <v>36</v>
      </c>
    </row>
    <row r="58" spans="1:18" x14ac:dyDescent="0.3">
      <c r="A58" s="3" t="s">
        <v>37</v>
      </c>
      <c r="B58" s="3">
        <v>33</v>
      </c>
      <c r="C58" s="3">
        <v>4</v>
      </c>
      <c r="D58" s="3">
        <v>5</v>
      </c>
      <c r="E58" s="3">
        <v>119</v>
      </c>
      <c r="F58" s="18">
        <f t="shared" si="0"/>
        <v>-10</v>
      </c>
      <c r="G58" s="24">
        <v>0.95</v>
      </c>
      <c r="H58" s="19">
        <f t="shared" si="1"/>
        <v>0.95</v>
      </c>
      <c r="I58" s="24">
        <v>1.8</v>
      </c>
      <c r="J58" s="19">
        <f t="shared" si="4"/>
        <v>-10</v>
      </c>
      <c r="K58" s="5">
        <v>7.8E-2</v>
      </c>
      <c r="L58" s="20">
        <f t="shared" si="2"/>
        <v>-10</v>
      </c>
      <c r="M58" s="1">
        <v>2.1800000000000002</v>
      </c>
      <c r="N58" s="21">
        <f t="shared" si="3"/>
        <v>-10</v>
      </c>
      <c r="Q58" s="18">
        <v>33</v>
      </c>
      <c r="R58" s="18" t="s">
        <v>37</v>
      </c>
    </row>
    <row r="59" spans="1:18" x14ac:dyDescent="0.3">
      <c r="A59" s="3" t="s">
        <v>38</v>
      </c>
      <c r="B59" s="3">
        <v>34</v>
      </c>
      <c r="C59" s="3">
        <v>4</v>
      </c>
      <c r="D59" s="3">
        <v>6</v>
      </c>
      <c r="E59" s="3">
        <v>116</v>
      </c>
      <c r="F59" s="18">
        <f t="shared" si="0"/>
        <v>-10</v>
      </c>
      <c r="G59" s="24">
        <v>0.94</v>
      </c>
      <c r="H59" s="19">
        <f t="shared" si="1"/>
        <v>0.94</v>
      </c>
      <c r="I59" s="24">
        <v>2.0499999999999998</v>
      </c>
      <c r="J59" s="19">
        <f t="shared" si="4"/>
        <v>-10</v>
      </c>
      <c r="K59" s="5">
        <v>0.19500000000000001</v>
      </c>
      <c r="L59" s="20">
        <f t="shared" si="2"/>
        <v>-10</v>
      </c>
      <c r="M59" s="1">
        <v>2.5499999999999998</v>
      </c>
      <c r="N59" s="21">
        <f t="shared" si="3"/>
        <v>-10</v>
      </c>
      <c r="Q59" s="18">
        <v>34</v>
      </c>
      <c r="R59" s="18" t="s">
        <v>38</v>
      </c>
    </row>
    <row r="60" spans="1:18" x14ac:dyDescent="0.3">
      <c r="A60" s="3" t="s">
        <v>39</v>
      </c>
      <c r="B60" s="3">
        <v>35</v>
      </c>
      <c r="C60" s="3">
        <v>4</v>
      </c>
      <c r="D60" s="3">
        <v>7</v>
      </c>
      <c r="E60" s="3">
        <v>114</v>
      </c>
      <c r="F60" s="18">
        <f t="shared" si="0"/>
        <v>-10</v>
      </c>
      <c r="G60" s="24">
        <v>1.1399999999999999</v>
      </c>
      <c r="H60" s="19">
        <f t="shared" si="1"/>
        <v>1.1399999999999999</v>
      </c>
      <c r="I60" s="24">
        <v>2.1</v>
      </c>
      <c r="J60" s="19">
        <f t="shared" si="4"/>
        <v>-10</v>
      </c>
      <c r="K60" s="5">
        <v>0.32469999999999999</v>
      </c>
      <c r="L60" s="20">
        <f t="shared" si="2"/>
        <v>-10</v>
      </c>
      <c r="M60" s="1">
        <v>2.96</v>
      </c>
      <c r="N60" s="21">
        <f t="shared" si="3"/>
        <v>-10</v>
      </c>
      <c r="Q60" s="18">
        <v>35</v>
      </c>
      <c r="R60" s="18" t="s">
        <v>39</v>
      </c>
    </row>
    <row r="61" spans="1:18" x14ac:dyDescent="0.3">
      <c r="A61" s="3" t="s">
        <v>40</v>
      </c>
      <c r="B61" s="3">
        <v>36</v>
      </c>
      <c r="C61" s="3">
        <v>4</v>
      </c>
      <c r="D61" s="3">
        <v>8</v>
      </c>
      <c r="E61" s="3">
        <v>110</v>
      </c>
      <c r="F61" s="18">
        <f t="shared" si="0"/>
        <v>-10</v>
      </c>
      <c r="G61" s="24">
        <v>1.35</v>
      </c>
      <c r="H61" s="19">
        <f t="shared" si="1"/>
        <v>1.35</v>
      </c>
      <c r="I61" s="24">
        <v>2.35</v>
      </c>
      <c r="J61" s="19">
        <f t="shared" si="4"/>
        <v>-10</v>
      </c>
      <c r="K61" s="5">
        <v>-9.7000000000000003E-2</v>
      </c>
      <c r="L61" s="20">
        <f t="shared" si="2"/>
        <v>-10</v>
      </c>
      <c r="M61" s="1">
        <v>2.9</v>
      </c>
      <c r="N61" s="21">
        <f t="shared" si="3"/>
        <v>-10</v>
      </c>
      <c r="Q61" s="18">
        <v>36</v>
      </c>
      <c r="R61" s="18" t="s">
        <v>40</v>
      </c>
    </row>
    <row r="62" spans="1:18" x14ac:dyDescent="0.3">
      <c r="A62" s="3" t="s">
        <v>54</v>
      </c>
      <c r="B62" s="3">
        <v>37</v>
      </c>
      <c r="C62" s="3">
        <v>5</v>
      </c>
      <c r="D62" s="3">
        <v>1</v>
      </c>
      <c r="E62" s="3">
        <v>211</v>
      </c>
      <c r="F62" s="18">
        <f t="shared" si="0"/>
        <v>-10</v>
      </c>
      <c r="G62" s="3">
        <v>0.4</v>
      </c>
      <c r="H62" s="19">
        <f t="shared" si="1"/>
        <v>0.4</v>
      </c>
      <c r="I62" s="3">
        <v>2.63</v>
      </c>
      <c r="J62" s="19">
        <f t="shared" si="4"/>
        <v>-10</v>
      </c>
      <c r="K62" s="5">
        <v>4.6899999999999997E-2</v>
      </c>
      <c r="L62" s="20">
        <f t="shared" si="2"/>
        <v>-10</v>
      </c>
      <c r="M62" s="1">
        <v>0.82</v>
      </c>
      <c r="N62" s="21">
        <f t="shared" si="3"/>
        <v>-10</v>
      </c>
      <c r="Q62" s="18">
        <v>37</v>
      </c>
      <c r="R62" s="18" t="s">
        <v>54</v>
      </c>
    </row>
    <row r="63" spans="1:18" x14ac:dyDescent="0.3">
      <c r="A63" s="3" t="s">
        <v>55</v>
      </c>
      <c r="B63" s="3">
        <v>38</v>
      </c>
      <c r="C63" s="3">
        <v>5</v>
      </c>
      <c r="D63" s="3">
        <v>2</v>
      </c>
      <c r="E63" s="3">
        <v>192</v>
      </c>
      <c r="F63" s="18">
        <f t="shared" si="0"/>
        <v>-10</v>
      </c>
      <c r="G63" s="3">
        <v>0.55000000000000004</v>
      </c>
      <c r="H63" s="19">
        <f t="shared" si="1"/>
        <v>0.55000000000000004</v>
      </c>
      <c r="I63" s="3">
        <v>1.06</v>
      </c>
      <c r="J63" s="19">
        <f t="shared" si="4"/>
        <v>-10</v>
      </c>
      <c r="K63" s="5">
        <v>-2.9000000000000001E-2</v>
      </c>
      <c r="L63" s="20">
        <f t="shared" si="2"/>
        <v>-10</v>
      </c>
      <c r="M63" s="1">
        <v>0.95</v>
      </c>
      <c r="N63" s="21">
        <f t="shared" si="3"/>
        <v>-10</v>
      </c>
      <c r="Q63" s="18">
        <v>38</v>
      </c>
      <c r="R63" s="18" t="s">
        <v>55</v>
      </c>
    </row>
    <row r="64" spans="1:18" x14ac:dyDescent="0.3">
      <c r="A64" s="3"/>
      <c r="B64" s="3"/>
      <c r="C64" s="3"/>
      <c r="D64" s="3"/>
      <c r="E64" s="3"/>
      <c r="F64" s="3"/>
      <c r="G64" s="3"/>
      <c r="I64" s="3"/>
      <c r="J64" s="3"/>
      <c r="K64" s="5"/>
    </row>
    <row r="65" spans="1:12" x14ac:dyDescent="0.3">
      <c r="A65" s="3"/>
      <c r="B65" s="3"/>
      <c r="C65" s="3"/>
      <c r="D65" s="3"/>
      <c r="E65" s="3"/>
      <c r="F65" s="3"/>
      <c r="G65" s="3" t="s">
        <v>53</v>
      </c>
      <c r="I65" s="3"/>
      <c r="J65" s="3"/>
      <c r="L65" s="25" t="s">
        <v>52</v>
      </c>
    </row>
    <row r="66" spans="1:12" x14ac:dyDescent="0.3">
      <c r="A66" s="3"/>
      <c r="B66" s="3"/>
      <c r="C66" s="3"/>
      <c r="D66" s="3"/>
      <c r="E66" s="3"/>
      <c r="F66" s="3"/>
      <c r="G66" s="3" t="s">
        <v>73</v>
      </c>
      <c r="I66" s="3"/>
      <c r="J66" s="3"/>
      <c r="K66" s="5"/>
    </row>
    <row r="67" spans="1:12" x14ac:dyDescent="0.3">
      <c r="A67" s="3"/>
      <c r="B67" s="3"/>
      <c r="C67" s="3"/>
      <c r="D67" s="3"/>
      <c r="E67" s="3"/>
      <c r="F67" s="3"/>
      <c r="G67" s="3"/>
      <c r="I67" s="3"/>
      <c r="J67" s="3"/>
      <c r="K67" s="5"/>
      <c r="L67" s="23" t="s">
        <v>51</v>
      </c>
    </row>
    <row r="68" spans="1:12" x14ac:dyDescent="0.3">
      <c r="A68" s="3"/>
      <c r="B68" s="3"/>
      <c r="C68" s="3"/>
      <c r="D68" s="3"/>
      <c r="E68" s="3"/>
      <c r="F68" s="3"/>
      <c r="G68" s="3"/>
      <c r="I68" s="3"/>
      <c r="J68" s="3"/>
      <c r="K68" s="5"/>
    </row>
    <row r="69" spans="1:12" x14ac:dyDescent="0.3">
      <c r="A69" s="3"/>
      <c r="B69" s="3"/>
      <c r="C69" s="3"/>
      <c r="D69" s="3"/>
      <c r="E69" s="3"/>
      <c r="F69" s="3"/>
      <c r="G69" s="3"/>
      <c r="I69" s="3"/>
      <c r="J69" s="3"/>
      <c r="K69" s="5"/>
    </row>
    <row r="70" spans="1:12" x14ac:dyDescent="0.3">
      <c r="A70" s="3"/>
      <c r="B70" s="3"/>
      <c r="C70" s="3"/>
      <c r="D70" s="3"/>
      <c r="E70" s="3"/>
      <c r="F70" s="3"/>
      <c r="G70" s="3"/>
      <c r="I70" s="3"/>
      <c r="J70" s="3"/>
      <c r="K70" s="5"/>
    </row>
    <row r="71" spans="1:12" x14ac:dyDescent="0.3">
      <c r="A71" s="3"/>
      <c r="B71" s="3"/>
      <c r="C71" s="3"/>
      <c r="D71" s="3"/>
      <c r="E71" s="3"/>
      <c r="F71" s="3"/>
      <c r="G71" s="3"/>
      <c r="I71" s="3"/>
      <c r="J71" s="3"/>
      <c r="K71" s="5"/>
    </row>
    <row r="72" spans="1:12" x14ac:dyDescent="0.3">
      <c r="A72" s="3"/>
      <c r="B72" s="3"/>
      <c r="C72" s="3"/>
      <c r="D72" s="3"/>
      <c r="E72" s="3"/>
      <c r="F72" s="3"/>
      <c r="G72" s="3"/>
      <c r="I72" s="3"/>
      <c r="J72" s="3"/>
      <c r="K72" s="5"/>
    </row>
    <row r="73" spans="1:12" x14ac:dyDescent="0.3">
      <c r="A73" s="3"/>
      <c r="B73" s="3"/>
      <c r="C73" s="3"/>
      <c r="D73" s="3"/>
      <c r="E73" s="3"/>
      <c r="F73" s="3"/>
      <c r="G73" s="3"/>
      <c r="I73" s="3"/>
      <c r="J73" s="3"/>
      <c r="K73" s="5"/>
    </row>
    <row r="74" spans="1:12" x14ac:dyDescent="0.3">
      <c r="A74" s="3"/>
      <c r="B74" s="3"/>
      <c r="C74" s="3"/>
      <c r="D74" s="3"/>
      <c r="E74" s="3"/>
      <c r="F74" s="3"/>
      <c r="G74" s="3"/>
      <c r="I74" s="3"/>
      <c r="J74" s="3"/>
      <c r="K74" s="5"/>
    </row>
    <row r="75" spans="1:12" x14ac:dyDescent="0.3">
      <c r="A75" s="3"/>
      <c r="B75" s="3"/>
      <c r="C75" s="3"/>
      <c r="D75" s="3"/>
      <c r="E75" s="3"/>
      <c r="F75" s="3"/>
      <c r="G75" s="3"/>
      <c r="I75" s="3"/>
      <c r="J75" s="3"/>
      <c r="K75" s="5"/>
    </row>
    <row r="76" spans="1:12" x14ac:dyDescent="0.3">
      <c r="A76" s="3"/>
      <c r="B76" s="3"/>
      <c r="C76" s="3"/>
      <c r="D76" s="3"/>
      <c r="E76" s="3"/>
      <c r="F76" s="3"/>
      <c r="G76" s="3"/>
      <c r="I76" s="3"/>
      <c r="J76" s="3"/>
      <c r="K76" s="5"/>
    </row>
    <row r="77" spans="1:12" x14ac:dyDescent="0.3">
      <c r="A77" s="3"/>
      <c r="B77" s="3"/>
      <c r="C77" s="3"/>
      <c r="D77" s="3"/>
      <c r="E77" s="3"/>
      <c r="F77" s="3"/>
      <c r="G77" s="3"/>
      <c r="I77" s="3"/>
      <c r="J77" s="3"/>
      <c r="K77" s="5"/>
    </row>
    <row r="78" spans="1:12" x14ac:dyDescent="0.3">
      <c r="A78" s="3"/>
      <c r="B78" s="3"/>
      <c r="C78" s="3"/>
      <c r="D78" s="3"/>
      <c r="E78" s="3"/>
      <c r="F78" s="3"/>
      <c r="G78" s="3"/>
      <c r="I78" s="3"/>
      <c r="J78" s="3"/>
      <c r="K78" s="5"/>
    </row>
    <row r="79" spans="1:12" x14ac:dyDescent="0.3">
      <c r="A79" s="3"/>
      <c r="B79" s="3"/>
      <c r="C79" s="3"/>
      <c r="D79" s="3"/>
      <c r="E79" s="3"/>
      <c r="F79" s="3"/>
      <c r="G79" s="3"/>
      <c r="I79" s="3"/>
      <c r="J79" s="3"/>
      <c r="K79" s="5"/>
    </row>
    <row r="80" spans="1:12" x14ac:dyDescent="0.3">
      <c r="A80" s="3"/>
      <c r="B80" s="3"/>
      <c r="C80" s="3"/>
      <c r="D80" s="3"/>
      <c r="E80" s="3"/>
      <c r="F80" s="3"/>
      <c r="G80" s="3"/>
      <c r="I80" s="3"/>
      <c r="J80" s="3"/>
      <c r="K80" s="5"/>
    </row>
    <row r="81" spans="1:11" x14ac:dyDescent="0.3">
      <c r="A81" s="3"/>
      <c r="B81" s="3"/>
      <c r="C81" s="3"/>
      <c r="D81" s="3"/>
      <c r="E81" s="3"/>
      <c r="F81" s="3"/>
      <c r="G81" s="3"/>
      <c r="I81" s="3"/>
      <c r="J81" s="3"/>
      <c r="K81" s="5"/>
    </row>
    <row r="82" spans="1:11" x14ac:dyDescent="0.3">
      <c r="A82" s="3"/>
      <c r="B82" s="3"/>
      <c r="C82" s="3"/>
      <c r="D82" s="3"/>
      <c r="E82" s="3"/>
      <c r="F82" s="3"/>
      <c r="G82" s="3"/>
      <c r="I82" s="3"/>
      <c r="J82" s="3"/>
      <c r="K82" s="5"/>
    </row>
    <row r="83" spans="1:11" x14ac:dyDescent="0.3">
      <c r="A83" s="3"/>
      <c r="B83" s="3"/>
      <c r="C83" s="3"/>
      <c r="D83" s="3"/>
      <c r="E83" s="3"/>
      <c r="F83" s="3"/>
      <c r="G83" s="3"/>
      <c r="I83" s="3"/>
      <c r="J83" s="3"/>
      <c r="K83" s="5"/>
    </row>
  </sheetData>
  <autoFilter ref="C25:D63"/>
  <phoneticPr fontId="0" type="noConversion"/>
  <hyperlinks>
    <hyperlink ref="L67" r:id="rId1"/>
    <hyperlink ref="L65" r:id="rId2"/>
  </hyperlinks>
  <pageMargins left="0.75" right="0.75" top="1" bottom="1" header="0.5" footer="0.5"/>
  <pageSetup orientation="landscape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95250</xdr:rowOff>
                  </from>
                  <to>
                    <xdr:col>11</xdr:col>
                    <xdr:colOff>104775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11</xdr:col>
                    <xdr:colOff>428625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95250</xdr:rowOff>
                  </from>
                  <to>
                    <xdr:col>11</xdr:col>
                    <xdr:colOff>571500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0</xdr:rowOff>
                  </from>
                  <to>
                    <xdr:col>11</xdr:col>
                    <xdr:colOff>561975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142875</xdr:rowOff>
                  </from>
                  <to>
                    <xdr:col>11</xdr:col>
                    <xdr:colOff>104775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57150</xdr:rowOff>
                  </from>
                  <to>
                    <xdr:col>11</xdr:col>
                    <xdr:colOff>666750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104775</xdr:rowOff>
                  </from>
                  <to>
                    <xdr:col>11</xdr:col>
                    <xdr:colOff>495300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66675</xdr:rowOff>
                  </from>
                  <to>
                    <xdr:col>12</xdr:col>
                    <xdr:colOff>38100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Spinner 17">
              <controlPr defaultSize="0" autoPict="0">
                <anchor moveWithCells="1" sizeWithCells="1">
                  <from>
                    <xdr:col>10</xdr:col>
                    <xdr:colOff>676275</xdr:colOff>
                    <xdr:row>0</xdr:row>
                    <xdr:rowOff>190500</xdr:rowOff>
                  </from>
                  <to>
                    <xdr:col>11</xdr:col>
                    <xdr:colOff>180975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M29"/>
  <sheetViews>
    <sheetView showGridLines="0" workbookViewId="0">
      <selection activeCell="M23" sqref="M23"/>
    </sheetView>
  </sheetViews>
  <sheetFormatPr defaultRowHeight="15" x14ac:dyDescent="0.3"/>
  <cols>
    <col min="1" max="5" width="9.140625" style="1"/>
    <col min="6" max="6" width="5.7109375" style="1" customWidth="1"/>
    <col min="7" max="8" width="9.140625" style="1"/>
    <col min="9" max="9" width="5.85546875" style="1" customWidth="1"/>
    <col min="10" max="16384" width="9.140625" style="1"/>
  </cols>
  <sheetData>
    <row r="1" spans="1:12" ht="18" x14ac:dyDescent="0.35">
      <c r="A1" s="17" t="s">
        <v>48</v>
      </c>
    </row>
    <row r="2" spans="1:12" ht="14.25" customHeight="1" x14ac:dyDescent="0.35">
      <c r="A2" s="17"/>
    </row>
    <row r="3" spans="1:12" x14ac:dyDescent="0.3">
      <c r="C3" s="3" t="s">
        <v>56</v>
      </c>
      <c r="E3" s="3" t="s">
        <v>64</v>
      </c>
      <c r="H3" s="3" t="s">
        <v>64</v>
      </c>
    </row>
    <row r="4" spans="1:12" ht="15.75" thickBot="1" x14ac:dyDescent="0.35">
      <c r="A4" s="27" t="s">
        <v>47</v>
      </c>
      <c r="B4" s="27" t="s">
        <v>58</v>
      </c>
      <c r="C4" s="27" t="s">
        <v>57</v>
      </c>
      <c r="D4" s="27" t="s">
        <v>59</v>
      </c>
      <c r="E4" s="27" t="s">
        <v>57</v>
      </c>
      <c r="F4" s="27"/>
      <c r="G4" s="27" t="s">
        <v>60</v>
      </c>
      <c r="H4" s="27" t="s">
        <v>57</v>
      </c>
      <c r="L4" s="31" t="s">
        <v>61</v>
      </c>
    </row>
    <row r="5" spans="1:12" ht="16.5" x14ac:dyDescent="0.3">
      <c r="A5" s="3">
        <v>1</v>
      </c>
      <c r="B5" s="3" t="s">
        <v>15</v>
      </c>
      <c r="C5" s="28">
        <v>154</v>
      </c>
      <c r="D5" s="3" t="s">
        <v>62</v>
      </c>
      <c r="E5" s="29" t="str">
        <f>IF($L$5=TRUE,95,"")</f>
        <v/>
      </c>
      <c r="F5" s="26">
        <f>IF($L$5=TRUE,E5,-10)</f>
        <v>-10</v>
      </c>
      <c r="G5" s="3"/>
      <c r="H5" s="3"/>
      <c r="L5" s="1" t="b">
        <v>0</v>
      </c>
    </row>
    <row r="6" spans="1:12" ht="16.5" x14ac:dyDescent="0.3">
      <c r="A6" s="3">
        <v>2</v>
      </c>
      <c r="B6" s="3" t="s">
        <v>16</v>
      </c>
      <c r="C6" s="28">
        <v>130</v>
      </c>
      <c r="D6" s="3" t="s">
        <v>63</v>
      </c>
      <c r="E6" s="29" t="str">
        <f>IF($L$5=TRUE,65,"")</f>
        <v/>
      </c>
      <c r="F6" s="26">
        <f>IF($L$5=TRUE,E6,-10)</f>
        <v>-10</v>
      </c>
      <c r="G6" s="3"/>
      <c r="H6" s="3"/>
    </row>
    <row r="7" spans="1:12" ht="16.5" x14ac:dyDescent="0.3">
      <c r="A7" s="3">
        <v>3</v>
      </c>
      <c r="B7" s="3" t="s">
        <v>17</v>
      </c>
      <c r="C7" s="28">
        <v>118</v>
      </c>
      <c r="D7" s="3" t="s">
        <v>67</v>
      </c>
      <c r="E7" s="29" t="str">
        <f>IF($L$5=TRUE,50,"")</f>
        <v/>
      </c>
      <c r="F7" s="26">
        <f>IF($L$5=TRUE,E7,-10)</f>
        <v>-10</v>
      </c>
      <c r="G7" s="3"/>
      <c r="H7" s="3"/>
      <c r="L7" s="1" t="b">
        <v>0</v>
      </c>
    </row>
    <row r="8" spans="1:12" ht="16.5" x14ac:dyDescent="0.3">
      <c r="A8" s="3">
        <v>4</v>
      </c>
      <c r="B8" s="3" t="s">
        <v>18</v>
      </c>
      <c r="C8" s="28">
        <v>111</v>
      </c>
      <c r="D8" s="3" t="s">
        <v>65</v>
      </c>
      <c r="E8" s="29" t="str">
        <f>IF($L$5=TRUE,41,"")</f>
        <v/>
      </c>
      <c r="F8" s="26">
        <f>IF($L$5=TRUE,E8,-10)</f>
        <v>-10</v>
      </c>
      <c r="G8" s="3"/>
      <c r="H8" s="3"/>
      <c r="L8" s="72" t="s">
        <v>162</v>
      </c>
    </row>
    <row r="9" spans="1:12" ht="16.5" x14ac:dyDescent="0.3">
      <c r="A9" s="3">
        <v>5</v>
      </c>
      <c r="B9" s="3" t="s">
        <v>19</v>
      </c>
      <c r="C9" s="28">
        <v>106</v>
      </c>
      <c r="D9" s="3" t="s">
        <v>66</v>
      </c>
      <c r="E9" s="29" t="str">
        <f>IF($L$5=TRUE,34,"")</f>
        <v/>
      </c>
      <c r="F9" s="26">
        <f>IF($L$5=TRUE,E9,-10)</f>
        <v>-10</v>
      </c>
      <c r="G9" s="3" t="s">
        <v>68</v>
      </c>
      <c r="H9" s="30" t="str">
        <f>IF($L$7=TRUE,212,"")</f>
        <v/>
      </c>
      <c r="I9" s="21">
        <f>IF($L$7=TRUE,H9,-10)</f>
        <v>-10</v>
      </c>
    </row>
    <row r="10" spans="1:12" ht="16.5" x14ac:dyDescent="0.3">
      <c r="A10" s="3">
        <v>6</v>
      </c>
      <c r="B10" s="3" t="s">
        <v>20</v>
      </c>
      <c r="C10" s="28">
        <v>102</v>
      </c>
      <c r="D10" s="3"/>
      <c r="E10" s="3"/>
      <c r="F10" s="16"/>
      <c r="G10" s="3" t="s">
        <v>69</v>
      </c>
      <c r="H10" s="30" t="str">
        <f>IF($L$7=TRUE,184,"")</f>
        <v/>
      </c>
      <c r="I10" s="21">
        <f>IF($L$7=TRUE,H10,-10)</f>
        <v>-10</v>
      </c>
    </row>
    <row r="11" spans="1:12" ht="16.5" x14ac:dyDescent="0.3">
      <c r="A11" s="3">
        <v>7</v>
      </c>
      <c r="B11" s="3" t="s">
        <v>21</v>
      </c>
      <c r="C11" s="28">
        <v>99</v>
      </c>
      <c r="D11" s="3"/>
      <c r="E11" s="3"/>
      <c r="F11" s="16"/>
      <c r="G11" s="3" t="s">
        <v>70</v>
      </c>
      <c r="H11" s="30" t="str">
        <f>IF($L$7=TRUE,181,"")</f>
        <v/>
      </c>
      <c r="I11" s="21">
        <f>IF($L$7=TRUE,H11,-10)</f>
        <v>-10</v>
      </c>
    </row>
    <row r="12" spans="1:12" x14ac:dyDescent="0.3">
      <c r="A12" s="3">
        <v>8</v>
      </c>
      <c r="B12" s="3" t="s">
        <v>22</v>
      </c>
      <c r="C12" s="28">
        <v>97</v>
      </c>
      <c r="D12" s="3"/>
      <c r="E12" s="3"/>
      <c r="F12" s="16"/>
      <c r="G12" s="3"/>
      <c r="H12" s="3"/>
    </row>
    <row r="13" spans="1:12" x14ac:dyDescent="0.3">
      <c r="A13" s="3"/>
      <c r="B13" s="3"/>
      <c r="C13" s="3"/>
      <c r="D13" s="3"/>
      <c r="E13" s="3"/>
      <c r="F13" s="3"/>
      <c r="G13" s="3"/>
      <c r="H13" s="3"/>
    </row>
    <row r="16" spans="1:12" x14ac:dyDescent="0.3">
      <c r="L16" s="36" t="str">
        <f>IF(L7=TRUE, "This series of anions","")</f>
        <v/>
      </c>
    </row>
    <row r="17" spans="4:13" ht="15.75" thickBot="1" x14ac:dyDescent="0.35">
      <c r="L17" s="36" t="str">
        <f>IF(L7=TRUE, "is isoelectronic with?","")</f>
        <v/>
      </c>
    </row>
    <row r="18" spans="4:13" ht="15.75" thickBot="1" x14ac:dyDescent="0.35">
      <c r="L18" s="37" t="str">
        <f>IF(L7=TRUE,"Fill in ","")</f>
        <v/>
      </c>
      <c r="M18" s="39"/>
    </row>
    <row r="19" spans="4:13" ht="16.5" x14ac:dyDescent="0.35">
      <c r="L19" s="36"/>
      <c r="M19" s="41" t="str">
        <f>IF(OR(L7=FALSE,M18=""),"",IF(OR(M18="Ar",M18="argon"),"Correct","try again"))</f>
        <v/>
      </c>
    </row>
    <row r="20" spans="4:13" x14ac:dyDescent="0.3">
      <c r="L20" s="36"/>
    </row>
    <row r="21" spans="4:13" x14ac:dyDescent="0.3">
      <c r="L21" s="22" t="str">
        <f>IF(L5=TRUE, "This series of cations","")</f>
        <v/>
      </c>
    </row>
    <row r="22" spans="4:13" ht="15.75" thickBot="1" x14ac:dyDescent="0.35">
      <c r="L22" s="22" t="str">
        <f>IF(L5=TRUE, "is isoelectronic with?","")</f>
        <v/>
      </c>
    </row>
    <row r="23" spans="4:13" ht="15.75" thickBot="1" x14ac:dyDescent="0.35">
      <c r="L23" s="38" t="str">
        <f>IF(L5=TRUE,"Fill in ","")</f>
        <v/>
      </c>
      <c r="M23" s="40"/>
    </row>
    <row r="24" spans="4:13" ht="16.5" x14ac:dyDescent="0.35">
      <c r="M24" s="41" t="str">
        <f>IF(OR(L5=FALSE,M23=""),"",IF(OR(M23="Ne",M23="neon"),"Correct","try again"))</f>
        <v/>
      </c>
    </row>
    <row r="27" spans="4:13" x14ac:dyDescent="0.3">
      <c r="D27" s="1" t="s">
        <v>150</v>
      </c>
    </row>
    <row r="29" spans="4:13" x14ac:dyDescent="0.3">
      <c r="K29" s="23" t="s">
        <v>51</v>
      </c>
    </row>
  </sheetData>
  <phoneticPr fontId="7" type="noConversion"/>
  <conditionalFormatting sqref="M18">
    <cfRule type="expression" dxfId="1" priority="1" stopIfTrue="1">
      <formula>$L$7=FALSE</formula>
    </cfRule>
  </conditionalFormatting>
  <conditionalFormatting sqref="M23">
    <cfRule type="expression" dxfId="0" priority="2" stopIfTrue="1">
      <formula>$L$5=FALSE</formula>
    </cfRule>
  </conditionalFormatting>
  <hyperlinks>
    <hyperlink ref="K29" r:id="rId1"/>
  </hyperlinks>
  <pageMargins left="0.75" right="0.75" top="1" bottom="1" header="0.5" footer="0.5"/>
  <pageSetup orientation="landscape" verticalDpi="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104775</xdr:colOff>
                    <xdr:row>4</xdr:row>
                    <xdr:rowOff>9525</xdr:rowOff>
                  </from>
                  <to>
                    <xdr:col>12</xdr:col>
                    <xdr:colOff>266700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95250</xdr:colOff>
                    <xdr:row>5</xdr:row>
                    <xdr:rowOff>171450</xdr:rowOff>
                  </from>
                  <to>
                    <xdr:col>12</xdr:col>
                    <xdr:colOff>266700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M27"/>
  <sheetViews>
    <sheetView showGridLines="0" workbookViewId="0">
      <selection activeCell="O27" sqref="O27"/>
    </sheetView>
  </sheetViews>
  <sheetFormatPr defaultRowHeight="15" x14ac:dyDescent="0.3"/>
  <cols>
    <col min="1" max="4" width="9.140625" style="1"/>
    <col min="5" max="5" width="7.5703125" style="1" customWidth="1"/>
    <col min="6" max="6" width="7.7109375" style="1" customWidth="1"/>
    <col min="7" max="7" width="8.140625" style="1" customWidth="1"/>
    <col min="8" max="8" width="7.5703125" style="1" customWidth="1"/>
    <col min="9" max="9" width="7.7109375" style="1" customWidth="1"/>
    <col min="10" max="10" width="7.5703125" style="1" customWidth="1"/>
    <col min="11" max="11" width="7" style="1" customWidth="1"/>
    <col min="12" max="12" width="7.140625" style="1" customWidth="1"/>
    <col min="13" max="16384" width="9.140625" style="1"/>
  </cols>
  <sheetData>
    <row r="1" spans="1:13" ht="18" x14ac:dyDescent="0.35">
      <c r="A1" s="11" t="s">
        <v>74</v>
      </c>
    </row>
    <row r="2" spans="1:13" x14ac:dyDescent="0.3">
      <c r="E2" s="9" t="s">
        <v>103</v>
      </c>
    </row>
    <row r="3" spans="1:13" ht="16.5" x14ac:dyDescent="0.3">
      <c r="A3" s="42" t="s">
        <v>82</v>
      </c>
      <c r="B3" s="43"/>
      <c r="C3" s="43" t="s">
        <v>75</v>
      </c>
      <c r="M3" s="47" t="s">
        <v>164</v>
      </c>
    </row>
    <row r="4" spans="1:13" ht="16.5" x14ac:dyDescent="0.3">
      <c r="A4" s="3">
        <v>1</v>
      </c>
      <c r="B4" s="44" t="s">
        <v>83</v>
      </c>
      <c r="C4" s="4">
        <v>0.58983018139714394</v>
      </c>
      <c r="M4" s="48" t="s">
        <v>165</v>
      </c>
    </row>
    <row r="5" spans="1:13" ht="16.5" x14ac:dyDescent="0.3">
      <c r="A5" s="3">
        <v>2</v>
      </c>
      <c r="B5" s="44" t="s">
        <v>84</v>
      </c>
      <c r="C5" s="4">
        <v>1.1454071786954843</v>
      </c>
      <c r="E5" s="1">
        <v>1</v>
      </c>
      <c r="F5" s="1">
        <f>IF(L19=TRUE,0.589830181397144,0.01)</f>
        <v>0.01</v>
      </c>
      <c r="I5" s="1">
        <v>11</v>
      </c>
      <c r="J5" s="1">
        <f>IF(G19=TRUE,57.048436896951,0.01)</f>
        <v>0.01</v>
      </c>
    </row>
    <row r="6" spans="1:13" ht="16.5" x14ac:dyDescent="0.3">
      <c r="A6" s="3">
        <v>3</v>
      </c>
      <c r="B6" s="45" t="s">
        <v>85</v>
      </c>
      <c r="C6" s="4">
        <v>4.9120030876109606</v>
      </c>
      <c r="E6" s="1">
        <v>2</v>
      </c>
      <c r="F6" s="1">
        <f>IF(L19=TRUE,1.14540717869548,0.01)</f>
        <v>0.01</v>
      </c>
      <c r="I6" s="1">
        <v>12</v>
      </c>
      <c r="J6" s="1">
        <f>IF(G19=TRUE,63.3336549594751,0.01)</f>
        <v>0.01</v>
      </c>
    </row>
    <row r="7" spans="1:13" ht="16.5" x14ac:dyDescent="0.3">
      <c r="A7" s="3">
        <v>4</v>
      </c>
      <c r="B7" s="45" t="s">
        <v>86</v>
      </c>
      <c r="C7" s="4">
        <v>6.4743342338865295</v>
      </c>
      <c r="I7" s="1">
        <v>13</v>
      </c>
      <c r="J7" s="1">
        <f>IF(G19=TRUE,70.0530683133925,0.01)</f>
        <v>0.01</v>
      </c>
    </row>
    <row r="8" spans="1:13" ht="16.5" x14ac:dyDescent="0.3">
      <c r="A8" s="3">
        <v>5</v>
      </c>
      <c r="B8" s="45" t="s">
        <v>87</v>
      </c>
      <c r="C8" s="4">
        <v>8.1445387881126976</v>
      </c>
      <c r="F8" s="1">
        <v>3</v>
      </c>
      <c r="G8" s="1">
        <f>IF(J19=TRUE,4.91200308761096,0.01)</f>
        <v>0.01</v>
      </c>
      <c r="I8" s="1">
        <v>14</v>
      </c>
      <c r="J8" s="1">
        <f>IF(G19=TRUE,78.7929370899267,0.01)</f>
        <v>0.01</v>
      </c>
    </row>
    <row r="9" spans="1:13" ht="16.5" x14ac:dyDescent="0.3">
      <c r="A9" s="3">
        <v>6</v>
      </c>
      <c r="B9" s="45" t="s">
        <v>88</v>
      </c>
      <c r="C9" s="4">
        <v>10.495947510613663</v>
      </c>
      <c r="F9" s="1">
        <v>4</v>
      </c>
      <c r="G9" s="1">
        <f>IF(J19=TRUE,6.47433423388653,0.01)</f>
        <v>0.01</v>
      </c>
      <c r="I9" s="1">
        <v>15</v>
      </c>
      <c r="J9" s="1">
        <f>IF(G19=TRUE,86.3681976071015,0.01)</f>
        <v>0.01</v>
      </c>
    </row>
    <row r="10" spans="1:13" ht="16.5" x14ac:dyDescent="0.3">
      <c r="A10" s="3">
        <v>7</v>
      </c>
      <c r="B10" s="45" t="s">
        <v>89</v>
      </c>
      <c r="C10" s="4">
        <v>12.321497491316094</v>
      </c>
      <c r="F10" s="1">
        <v>5</v>
      </c>
      <c r="G10" s="1">
        <f>IF(J19=TRUE,8.1445387881127,0.01)</f>
        <v>0.01</v>
      </c>
      <c r="I10" s="1">
        <v>16</v>
      </c>
      <c r="J10" s="1">
        <f>IF(G19=TRUE,93.9791586260131,0.01)</f>
        <v>0.01</v>
      </c>
    </row>
    <row r="11" spans="1:13" ht="16.5" x14ac:dyDescent="0.3">
      <c r="A11" s="3">
        <v>8</v>
      </c>
      <c r="B11" s="45" t="s">
        <v>90</v>
      </c>
      <c r="C11" s="4">
        <v>14.206869934388267</v>
      </c>
      <c r="F11" s="1">
        <v>6</v>
      </c>
      <c r="G11" s="1">
        <f>IF(J19=TRUE,10.4959475106137,0.01)</f>
        <v>0.01</v>
      </c>
    </row>
    <row r="12" spans="1:13" ht="16.5" x14ac:dyDescent="0.3">
      <c r="A12" s="3">
        <v>9</v>
      </c>
      <c r="B12" s="45" t="s">
        <v>91</v>
      </c>
      <c r="C12" s="4">
        <v>18.191817830953298</v>
      </c>
      <c r="F12" s="1">
        <v>7</v>
      </c>
      <c r="G12" s="1">
        <f>IF(J19=TRUE,12.3214974913161,0.01)</f>
        <v>0.01</v>
      </c>
      <c r="J12" s="1">
        <v>17</v>
      </c>
      <c r="K12" s="1">
        <f>IF(F19=TRUE,104.882284832111,0.01)</f>
        <v>0.01</v>
      </c>
    </row>
    <row r="13" spans="1:13" ht="16.5" x14ac:dyDescent="0.3">
      <c r="A13" s="3">
        <v>10</v>
      </c>
      <c r="B13" s="45" t="s">
        <v>92</v>
      </c>
      <c r="C13" s="4">
        <v>20.384986491702044</v>
      </c>
      <c r="F13" s="1">
        <v>8</v>
      </c>
      <c r="G13" s="1">
        <f>IF(J19=TRUE,14.2068699343883,0.01)</f>
        <v>0.01</v>
      </c>
      <c r="J13" s="1">
        <v>18</v>
      </c>
      <c r="K13" s="1">
        <f>IF(F19=TRUE,111.63643380934,0.01)</f>
        <v>0.01</v>
      </c>
    </row>
    <row r="14" spans="1:13" ht="16.5" x14ac:dyDescent="0.3">
      <c r="A14" s="3">
        <v>11</v>
      </c>
      <c r="B14" s="46" t="s">
        <v>93</v>
      </c>
      <c r="C14" s="4">
        <v>57.048436896950982</v>
      </c>
    </row>
    <row r="15" spans="1:13" ht="16.5" x14ac:dyDescent="0.3">
      <c r="A15" s="3">
        <v>12</v>
      </c>
      <c r="B15" s="46" t="s">
        <v>94</v>
      </c>
      <c r="C15" s="4">
        <v>63.333654959475098</v>
      </c>
      <c r="G15" s="1">
        <v>9</v>
      </c>
      <c r="H15" s="1">
        <f>IF(I19=TRUE,18.1918178309533,0.01)</f>
        <v>0.01</v>
      </c>
      <c r="K15" s="1">
        <v>19</v>
      </c>
      <c r="L15" s="1">
        <f>IF(E19=TRUE,494.890486298726,0.01)</f>
        <v>0.01</v>
      </c>
    </row>
    <row r="16" spans="1:13" ht="16.5" x14ac:dyDescent="0.3">
      <c r="A16" s="3">
        <v>13</v>
      </c>
      <c r="B16" s="46" t="s">
        <v>95</v>
      </c>
      <c r="C16" s="4">
        <v>70.053068313392501</v>
      </c>
      <c r="G16" s="1">
        <v>10</v>
      </c>
      <c r="H16" s="1">
        <f>IF(I19=TRUE,20.384986491702,0.01)</f>
        <v>0.01</v>
      </c>
      <c r="K16" s="1">
        <v>20</v>
      </c>
      <c r="L16" s="1">
        <f>IF(E19=TRUE,527.763218834427,0.01)</f>
        <v>0.01</v>
      </c>
    </row>
    <row r="17" spans="1:13" ht="16.5" x14ac:dyDescent="0.3">
      <c r="A17" s="3">
        <v>14</v>
      </c>
      <c r="B17" s="46" t="s">
        <v>96</v>
      </c>
      <c r="C17" s="4">
        <v>78.792937089926667</v>
      </c>
      <c r="M17" s="72" t="s">
        <v>163</v>
      </c>
    </row>
    <row r="18" spans="1:13" ht="16.5" x14ac:dyDescent="0.3">
      <c r="A18" s="3">
        <v>15</v>
      </c>
      <c r="B18" s="46" t="s">
        <v>97</v>
      </c>
      <c r="C18" s="4">
        <v>86.368197607101493</v>
      </c>
      <c r="E18" s="1" t="s">
        <v>76</v>
      </c>
      <c r="F18" s="1" t="s">
        <v>77</v>
      </c>
      <c r="G18" s="1" t="s">
        <v>78</v>
      </c>
      <c r="I18" s="1" t="s">
        <v>79</v>
      </c>
      <c r="J18" s="1" t="s">
        <v>80</v>
      </c>
      <c r="L18" s="1" t="s">
        <v>81</v>
      </c>
    </row>
    <row r="19" spans="1:13" ht="16.5" x14ac:dyDescent="0.3">
      <c r="A19" s="3">
        <v>16</v>
      </c>
      <c r="B19" s="46" t="s">
        <v>98</v>
      </c>
      <c r="C19" s="4">
        <v>93.979158626013117</v>
      </c>
      <c r="E19" s="1" t="b">
        <v>0</v>
      </c>
      <c r="F19" s="1" t="b">
        <v>0</v>
      </c>
      <c r="G19" s="1" t="b">
        <v>0</v>
      </c>
      <c r="I19" s="1" t="b">
        <v>0</v>
      </c>
      <c r="J19" s="1" t="b">
        <v>0</v>
      </c>
      <c r="L19" s="1" t="b">
        <v>0</v>
      </c>
    </row>
    <row r="20" spans="1:13" ht="16.5" x14ac:dyDescent="0.3">
      <c r="A20" s="3">
        <v>17</v>
      </c>
      <c r="B20" s="46" t="s">
        <v>99</v>
      </c>
      <c r="C20" s="4">
        <v>104.88228483211114</v>
      </c>
    </row>
    <row r="21" spans="1:13" ht="16.5" x14ac:dyDescent="0.3">
      <c r="A21" s="3">
        <v>18</v>
      </c>
      <c r="B21" s="46" t="s">
        <v>100</v>
      </c>
      <c r="C21" s="4">
        <v>111.63643380934002</v>
      </c>
      <c r="E21" s="35" t="str">
        <f>IF(L19=TRUE,"outer most","")</f>
        <v/>
      </c>
      <c r="G21" s="47" t="str">
        <f>IF(I19=TRUE,"n = 3 shell","")</f>
        <v/>
      </c>
      <c r="I21" s="49"/>
      <c r="J21" s="50" t="str">
        <f>IF(F19=TRUE,"n = 2 shell","")</f>
        <v/>
      </c>
      <c r="L21" s="30" t="str">
        <f>IF(E19=TRUE,"core","")</f>
        <v/>
      </c>
    </row>
    <row r="22" spans="1:13" ht="16.5" x14ac:dyDescent="0.3">
      <c r="A22" s="3">
        <v>19</v>
      </c>
      <c r="B22" s="30" t="s">
        <v>101</v>
      </c>
      <c r="C22" s="4">
        <v>494.89048629872633</v>
      </c>
      <c r="E22" s="35" t="str">
        <f>IF(L19=TRUE,"or valence","")</f>
        <v/>
      </c>
      <c r="G22" s="47" t="str">
        <f>IF(I19=TRUE,"electrons","")</f>
        <v/>
      </c>
      <c r="I22" s="49"/>
      <c r="J22" s="50" t="str">
        <f>IF(F19=TRUE,"electrons","")</f>
        <v/>
      </c>
      <c r="L22" s="30" t="str">
        <f>IF(E19=TRUE,"electrons","")</f>
        <v/>
      </c>
    </row>
    <row r="23" spans="1:13" ht="16.5" x14ac:dyDescent="0.3">
      <c r="A23" s="3">
        <v>20</v>
      </c>
      <c r="B23" s="30" t="s">
        <v>102</v>
      </c>
      <c r="C23" s="4">
        <v>527.76321883442688</v>
      </c>
      <c r="E23" s="35" t="str">
        <f>IF(L19=TRUE,"electrons","")</f>
        <v/>
      </c>
    </row>
    <row r="26" spans="1:13" x14ac:dyDescent="0.3">
      <c r="G26" s="1" t="s">
        <v>151</v>
      </c>
    </row>
    <row r="27" spans="1:13" x14ac:dyDescent="0.3">
      <c r="M27" s="23" t="s">
        <v>51</v>
      </c>
    </row>
  </sheetData>
  <phoneticPr fontId="7" type="noConversion"/>
  <hyperlinks>
    <hyperlink ref="M27" r:id="rId1"/>
  </hyperlinks>
  <pageMargins left="0.75" right="0.75" top="1" bottom="1" header="0.5" footer="0.5"/>
  <pageSetup orientation="landscape" verticalDpi="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295275</xdr:colOff>
                    <xdr:row>14</xdr:row>
                    <xdr:rowOff>0</xdr:rowOff>
                  </from>
                  <to>
                    <xdr:col>13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295275</xdr:colOff>
                    <xdr:row>10</xdr:row>
                    <xdr:rowOff>9525</xdr:rowOff>
                  </from>
                  <to>
                    <xdr:col>13</xdr:col>
                    <xdr:colOff>466725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12</xdr:col>
                    <xdr:colOff>295275</xdr:colOff>
                    <xdr:row>12</xdr:row>
                    <xdr:rowOff>0</xdr:rowOff>
                  </from>
                  <to>
                    <xdr:col>13</xdr:col>
                    <xdr:colOff>466725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12</xdr:col>
                    <xdr:colOff>295275</xdr:colOff>
                    <xdr:row>8</xdr:row>
                    <xdr:rowOff>19050</xdr:rowOff>
                  </from>
                  <to>
                    <xdr:col>13</xdr:col>
                    <xdr:colOff>466725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295275</xdr:colOff>
                    <xdr:row>6</xdr:row>
                    <xdr:rowOff>28575</xdr:rowOff>
                  </from>
                  <to>
                    <xdr:col>13</xdr:col>
                    <xdr:colOff>466725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12</xdr:col>
                    <xdr:colOff>295275</xdr:colOff>
                    <xdr:row>4</xdr:row>
                    <xdr:rowOff>57150</xdr:rowOff>
                  </from>
                  <to>
                    <xdr:col>13</xdr:col>
                    <xdr:colOff>466725</xdr:colOff>
                    <xdr:row>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9"/>
  </sheetPr>
  <dimension ref="A1:W43"/>
  <sheetViews>
    <sheetView showGridLines="0" workbookViewId="0">
      <selection activeCell="O19" sqref="O19"/>
    </sheetView>
  </sheetViews>
  <sheetFormatPr defaultRowHeight="15" x14ac:dyDescent="0.3"/>
  <cols>
    <col min="1" max="4" width="8.7109375" style="3" customWidth="1"/>
    <col min="5" max="20" width="8.7109375" style="1" customWidth="1"/>
    <col min="21" max="21" width="7.28515625" style="1" customWidth="1"/>
    <col min="22" max="22" width="6.42578125" style="1" customWidth="1"/>
    <col min="23" max="16384" width="9.140625" style="1"/>
  </cols>
  <sheetData>
    <row r="1" spans="1:22" ht="18" x14ac:dyDescent="0.35">
      <c r="A1" s="64" t="s">
        <v>145</v>
      </c>
      <c r="L1" s="43" t="s">
        <v>114</v>
      </c>
      <c r="M1" s="58"/>
      <c r="N1" s="9" t="s">
        <v>144</v>
      </c>
      <c r="V1" s="9"/>
    </row>
    <row r="2" spans="1:22" x14ac:dyDescent="0.3">
      <c r="L2" s="66">
        <v>1</v>
      </c>
      <c r="M2" s="58"/>
      <c r="N2" s="9" t="s">
        <v>149</v>
      </c>
      <c r="V2" s="9"/>
    </row>
    <row r="3" spans="1:22" ht="16.5" x14ac:dyDescent="0.35">
      <c r="A3" s="69" t="s">
        <v>146</v>
      </c>
      <c r="B3" s="67" t="str">
        <f>IF(L17=1,"Melting Point in degrees Kelvin",IF(L17=2,"Density in grams/cubic centimeter",IF(L17=3,"Resistivity in microohm-cm")))</f>
        <v>Melting Point in degrees Kelvin</v>
      </c>
    </row>
    <row r="4" spans="1:22" x14ac:dyDescent="0.3">
      <c r="L4" s="59" t="s">
        <v>139</v>
      </c>
      <c r="M4" s="60" t="s">
        <v>140</v>
      </c>
      <c r="N4" s="61" t="s">
        <v>141</v>
      </c>
      <c r="O4" s="63"/>
      <c r="V4" s="62"/>
    </row>
    <row r="5" spans="1:22" x14ac:dyDescent="0.3">
      <c r="L5" s="45" t="str">
        <f>IF(L9=TRUE,VLOOKUP($L$2,$A$26:$U$35,2),"")</f>
        <v/>
      </c>
      <c r="M5" s="44" t="str">
        <f>IF(L11=TRUE,VLOOKUP($L$2,$A$26:$U$35,9),"")</f>
        <v/>
      </c>
      <c r="N5" s="30" t="str">
        <f>IF(L13=TRUE,VLOOKUP($L$2,$A$26:$U$35,16),"")</f>
        <v/>
      </c>
      <c r="O5" s="44"/>
      <c r="V5" s="30"/>
    </row>
    <row r="8" spans="1:22" x14ac:dyDescent="0.3">
      <c r="L8" s="65" t="s">
        <v>143</v>
      </c>
    </row>
    <row r="9" spans="1:22" x14ac:dyDescent="0.3">
      <c r="L9" s="6" t="b">
        <v>0</v>
      </c>
    </row>
    <row r="10" spans="1:22" x14ac:dyDescent="0.3">
      <c r="L10" s="6"/>
    </row>
    <row r="11" spans="1:22" x14ac:dyDescent="0.3">
      <c r="L11" s="6" t="b">
        <v>0</v>
      </c>
    </row>
    <row r="12" spans="1:22" x14ac:dyDescent="0.3">
      <c r="L12" s="6"/>
    </row>
    <row r="13" spans="1:22" x14ac:dyDescent="0.3">
      <c r="L13" s="6" t="b">
        <v>0</v>
      </c>
    </row>
    <row r="16" spans="1:22" x14ac:dyDescent="0.3">
      <c r="L16" s="65" t="s">
        <v>142</v>
      </c>
    </row>
    <row r="17" spans="1:23" x14ac:dyDescent="0.3">
      <c r="L17" s="1">
        <v>1</v>
      </c>
    </row>
    <row r="18" spans="1:23" x14ac:dyDescent="0.3">
      <c r="M18" s="1" t="b">
        <v>0</v>
      </c>
    </row>
    <row r="22" spans="1:23" x14ac:dyDescent="0.3">
      <c r="M22" s="3" t="s">
        <v>166</v>
      </c>
    </row>
    <row r="24" spans="1:23" x14ac:dyDescent="0.3">
      <c r="A24" s="3" t="s">
        <v>147</v>
      </c>
      <c r="B24" s="3" t="s">
        <v>139</v>
      </c>
      <c r="C24" s="1"/>
      <c r="D24" s="1"/>
      <c r="I24" s="1" t="s">
        <v>140</v>
      </c>
      <c r="P24" s="1" t="s">
        <v>141</v>
      </c>
    </row>
    <row r="25" spans="1:23" x14ac:dyDescent="0.3">
      <c r="A25" s="43" t="s">
        <v>148</v>
      </c>
      <c r="B25" s="43" t="s">
        <v>135</v>
      </c>
      <c r="C25" s="68" t="s">
        <v>136</v>
      </c>
      <c r="D25" s="42"/>
      <c r="E25" s="68" t="s">
        <v>137</v>
      </c>
      <c r="F25" s="42"/>
      <c r="G25" s="42" t="s">
        <v>138</v>
      </c>
      <c r="H25" s="42"/>
      <c r="I25" s="43" t="s">
        <v>135</v>
      </c>
      <c r="J25" s="68" t="s">
        <v>136</v>
      </c>
      <c r="K25" s="42"/>
      <c r="L25" s="68" t="s">
        <v>137</v>
      </c>
      <c r="M25" s="42"/>
      <c r="N25" s="42" t="s">
        <v>138</v>
      </c>
      <c r="O25" s="42"/>
      <c r="P25" s="43" t="s">
        <v>135</v>
      </c>
      <c r="Q25" s="68" t="s">
        <v>136</v>
      </c>
      <c r="R25" s="42"/>
      <c r="S25" s="68" t="s">
        <v>137</v>
      </c>
      <c r="T25" s="42"/>
      <c r="U25" s="42" t="s">
        <v>138</v>
      </c>
      <c r="V25" s="43"/>
    </row>
    <row r="26" spans="1:23" x14ac:dyDescent="0.3">
      <c r="A26" s="3">
        <v>1</v>
      </c>
      <c r="B26" s="3" t="s">
        <v>25</v>
      </c>
      <c r="C26" s="1">
        <v>1814</v>
      </c>
      <c r="D26" s="1">
        <f>IF(AND($L$17=1,$L$9=TRUE),C26,-100)</f>
        <v>-100</v>
      </c>
      <c r="E26" s="1">
        <v>2.9889999999999999</v>
      </c>
      <c r="F26" s="1">
        <f>IF(AND($L$17=2,$L$9=TRUE),E26,-100)</f>
        <v>-100</v>
      </c>
      <c r="G26" s="3">
        <v>56.2</v>
      </c>
      <c r="H26" s="1">
        <f>IF(AND($L$17=3,$L$9=TRUE),G26,-100)</f>
        <v>-100</v>
      </c>
      <c r="I26" s="3" t="s">
        <v>115</v>
      </c>
      <c r="J26" s="1">
        <v>1795</v>
      </c>
      <c r="K26" s="1">
        <f>IF(AND($L$17=1,$L$11=TRUE),J26,-100)</f>
        <v>-100</v>
      </c>
      <c r="L26" s="1">
        <v>4.4889999999999999</v>
      </c>
      <c r="M26" s="1">
        <f>IF(AND($L$17=2,$L$11=TRUE),L26,-100)</f>
        <v>-100</v>
      </c>
      <c r="N26" s="3">
        <v>25</v>
      </c>
      <c r="O26" s="1">
        <f>IF(AND($L$17=3,$L$11=TRUE),N26,-100)</f>
        <v>-100</v>
      </c>
      <c r="P26" s="3" t="s">
        <v>126</v>
      </c>
      <c r="Q26" s="1">
        <v>1191</v>
      </c>
      <c r="R26" s="1">
        <f>IF(AND($L$17=1,$L$13=TRUE),Q26,-100)</f>
        <v>-100</v>
      </c>
      <c r="S26" s="1">
        <v>6.1449999999999996</v>
      </c>
      <c r="T26" s="1">
        <f>IF(AND($L$17=2,$L$13=TRUE),S26,-100)</f>
        <v>-100</v>
      </c>
      <c r="U26" s="3">
        <v>61.5</v>
      </c>
      <c r="V26" s="1">
        <f>IF(AND($L$17=3,$L$13=TRUE),U26,-100)</f>
        <v>-100</v>
      </c>
      <c r="W26" s="21">
        <f>IF(AND($M$18=TRUE,$L$17=1),298,-100)</f>
        <v>-100</v>
      </c>
    </row>
    <row r="27" spans="1:23" x14ac:dyDescent="0.3">
      <c r="A27" s="3">
        <v>2</v>
      </c>
      <c r="B27" s="3" t="s">
        <v>26</v>
      </c>
      <c r="C27" s="1">
        <v>1941</v>
      </c>
      <c r="D27" s="1">
        <f t="shared" ref="D27:D35" si="0">IF(AND($L$17=1,$L$9=TRUE),C27,-100)</f>
        <v>-100</v>
      </c>
      <c r="E27" s="1">
        <v>4.54</v>
      </c>
      <c r="F27" s="1">
        <f t="shared" ref="F27:F35" si="1">IF(AND($L$17=2,$L$9=TRUE),E27,-100)</f>
        <v>-100</v>
      </c>
      <c r="G27" s="3">
        <v>39</v>
      </c>
      <c r="H27" s="1">
        <f t="shared" ref="H27:H35" si="2">IF(AND($L$17=3,$L$9=TRUE),G27,-100)</f>
        <v>-100</v>
      </c>
      <c r="I27" s="3" t="s">
        <v>116</v>
      </c>
      <c r="J27" s="1">
        <v>2128</v>
      </c>
      <c r="K27" s="1">
        <f t="shared" ref="K27:K35" si="3">IF(AND($L$17=1,$L$11=TRUE),J27,-100)</f>
        <v>-100</v>
      </c>
      <c r="L27" s="1">
        <v>6.5060000000000002</v>
      </c>
      <c r="M27" s="1">
        <f t="shared" ref="M27:M35" si="4">IF(AND($L$17=2,$L$11=TRUE),L27,-100)</f>
        <v>-100</v>
      </c>
      <c r="N27" s="3">
        <v>43.3</v>
      </c>
      <c r="O27" s="1">
        <f t="shared" ref="O27:O35" si="5">IF(AND($L$17=3,$L$11=TRUE),N27,-100)</f>
        <v>-100</v>
      </c>
      <c r="P27" s="3" t="s">
        <v>127</v>
      </c>
      <c r="Q27" s="1">
        <v>2506</v>
      </c>
      <c r="R27" s="1">
        <f t="shared" ref="R27:R35" si="6">IF(AND($L$17=1,$L$13=TRUE),Q27,-100)</f>
        <v>-100</v>
      </c>
      <c r="S27" s="1">
        <v>13.31</v>
      </c>
      <c r="T27" s="1">
        <f t="shared" ref="T27:T35" si="7">IF(AND($L$17=2,$L$13=TRUE),S27,-100)</f>
        <v>-100</v>
      </c>
      <c r="U27" s="3">
        <v>34</v>
      </c>
      <c r="V27" s="1">
        <f t="shared" ref="V27:V35" si="8">IF(AND($L$17=3,$L$13=TRUE),U27,-100)</f>
        <v>-100</v>
      </c>
      <c r="W27" s="21">
        <f t="shared" ref="W27:W35" si="9">IF(AND($M$18=TRUE,$L$17=1),298,-100)</f>
        <v>-100</v>
      </c>
    </row>
    <row r="28" spans="1:23" x14ac:dyDescent="0.3">
      <c r="A28" s="3">
        <v>3</v>
      </c>
      <c r="B28" s="3" t="s">
        <v>27</v>
      </c>
      <c r="C28" s="1">
        <v>2183</v>
      </c>
      <c r="D28" s="1">
        <f t="shared" si="0"/>
        <v>-100</v>
      </c>
      <c r="E28" s="1">
        <v>6.11</v>
      </c>
      <c r="F28" s="1">
        <f t="shared" si="1"/>
        <v>-100</v>
      </c>
      <c r="G28" s="3">
        <v>20.2</v>
      </c>
      <c r="H28" s="1">
        <f t="shared" si="2"/>
        <v>-100</v>
      </c>
      <c r="I28" s="3" t="s">
        <v>117</v>
      </c>
      <c r="J28" s="1">
        <v>2750</v>
      </c>
      <c r="K28" s="1">
        <f t="shared" si="3"/>
        <v>-100</v>
      </c>
      <c r="L28" s="1">
        <v>8.57</v>
      </c>
      <c r="M28" s="1">
        <f t="shared" si="4"/>
        <v>-100</v>
      </c>
      <c r="N28" s="3">
        <v>15.2</v>
      </c>
      <c r="O28" s="1">
        <f t="shared" si="5"/>
        <v>-100</v>
      </c>
      <c r="P28" s="3" t="s">
        <v>128</v>
      </c>
      <c r="Q28" s="1">
        <v>3290</v>
      </c>
      <c r="R28" s="1">
        <f t="shared" si="6"/>
        <v>-100</v>
      </c>
      <c r="S28" s="1">
        <v>16.654</v>
      </c>
      <c r="T28" s="1">
        <f t="shared" si="7"/>
        <v>-100</v>
      </c>
      <c r="U28" s="3">
        <v>13.5</v>
      </c>
      <c r="V28" s="1">
        <f t="shared" si="8"/>
        <v>-100</v>
      </c>
      <c r="W28" s="21">
        <f t="shared" si="9"/>
        <v>-100</v>
      </c>
    </row>
    <row r="29" spans="1:23" x14ac:dyDescent="0.3">
      <c r="A29" s="3">
        <v>4</v>
      </c>
      <c r="B29" s="3" t="s">
        <v>28</v>
      </c>
      <c r="C29" s="1">
        <v>2180</v>
      </c>
      <c r="D29" s="1">
        <f t="shared" si="0"/>
        <v>-100</v>
      </c>
      <c r="E29" s="1">
        <v>7.19</v>
      </c>
      <c r="F29" s="1">
        <f t="shared" si="1"/>
        <v>-100</v>
      </c>
      <c r="G29" s="3">
        <v>12.7</v>
      </c>
      <c r="H29" s="1">
        <f t="shared" si="2"/>
        <v>-100</v>
      </c>
      <c r="I29" s="3" t="s">
        <v>118</v>
      </c>
      <c r="J29" s="1">
        <v>2896</v>
      </c>
      <c r="K29" s="1">
        <f t="shared" si="3"/>
        <v>-100</v>
      </c>
      <c r="L29" s="1">
        <v>10.220000000000001</v>
      </c>
      <c r="M29" s="1">
        <f t="shared" si="4"/>
        <v>-100</v>
      </c>
      <c r="N29" s="3">
        <v>5.52</v>
      </c>
      <c r="O29" s="1">
        <f t="shared" si="5"/>
        <v>-100</v>
      </c>
      <c r="P29" s="3" t="s">
        <v>119</v>
      </c>
      <c r="Q29" s="1">
        <v>3695</v>
      </c>
      <c r="R29" s="1">
        <f t="shared" si="6"/>
        <v>-100</v>
      </c>
      <c r="S29" s="1">
        <v>19.3</v>
      </c>
      <c r="T29" s="1">
        <f t="shared" si="7"/>
        <v>-100</v>
      </c>
      <c r="U29" s="3">
        <v>5.44</v>
      </c>
      <c r="V29" s="1">
        <f t="shared" si="8"/>
        <v>-100</v>
      </c>
      <c r="W29" s="21">
        <f t="shared" si="9"/>
        <v>-100</v>
      </c>
    </row>
    <row r="30" spans="1:23" x14ac:dyDescent="0.3">
      <c r="A30" s="3">
        <v>5</v>
      </c>
      <c r="B30" s="3" t="s">
        <v>29</v>
      </c>
      <c r="C30" s="1">
        <v>1519</v>
      </c>
      <c r="D30" s="1">
        <f t="shared" si="0"/>
        <v>-100</v>
      </c>
      <c r="E30" s="1">
        <v>7.33</v>
      </c>
      <c r="F30" s="1">
        <f t="shared" si="1"/>
        <v>-100</v>
      </c>
      <c r="G30" s="3">
        <v>144</v>
      </c>
      <c r="H30" s="1">
        <f t="shared" si="2"/>
        <v>-100</v>
      </c>
      <c r="I30" s="3" t="s">
        <v>120</v>
      </c>
      <c r="J30" s="1">
        <v>2430</v>
      </c>
      <c r="K30" s="1">
        <f t="shared" si="3"/>
        <v>-100</v>
      </c>
      <c r="L30" s="1">
        <v>11.5</v>
      </c>
      <c r="M30" s="1">
        <f t="shared" si="4"/>
        <v>-100</v>
      </c>
      <c r="N30" s="3">
        <v>23</v>
      </c>
      <c r="O30" s="1">
        <f t="shared" si="5"/>
        <v>-100</v>
      </c>
      <c r="P30" s="3" t="s">
        <v>129</v>
      </c>
      <c r="Q30" s="1">
        <v>3459</v>
      </c>
      <c r="R30" s="1">
        <f t="shared" si="6"/>
        <v>-100</v>
      </c>
      <c r="S30" s="1">
        <v>21.02</v>
      </c>
      <c r="T30" s="1">
        <f t="shared" si="7"/>
        <v>-100</v>
      </c>
      <c r="U30" s="3">
        <v>17.2</v>
      </c>
      <c r="V30" s="1">
        <f t="shared" si="8"/>
        <v>-100</v>
      </c>
      <c r="W30" s="21">
        <f t="shared" si="9"/>
        <v>-100</v>
      </c>
    </row>
    <row r="31" spans="1:23" x14ac:dyDescent="0.3">
      <c r="A31" s="3">
        <v>6</v>
      </c>
      <c r="B31" s="3" t="s">
        <v>30</v>
      </c>
      <c r="C31" s="1">
        <v>1811</v>
      </c>
      <c r="D31" s="1">
        <f t="shared" si="0"/>
        <v>-100</v>
      </c>
      <c r="E31" s="1">
        <v>7.8739999999999997</v>
      </c>
      <c r="F31" s="1">
        <f t="shared" si="1"/>
        <v>-100</v>
      </c>
      <c r="G31" s="3">
        <v>9.98</v>
      </c>
      <c r="H31" s="1">
        <f t="shared" si="2"/>
        <v>-100</v>
      </c>
      <c r="I31" s="3" t="s">
        <v>121</v>
      </c>
      <c r="J31" s="1">
        <v>2607</v>
      </c>
      <c r="K31" s="1">
        <f t="shared" si="3"/>
        <v>-100</v>
      </c>
      <c r="L31" s="1">
        <v>11.41</v>
      </c>
      <c r="M31" s="1">
        <f t="shared" si="4"/>
        <v>-100</v>
      </c>
      <c r="N31" s="3">
        <v>7.1</v>
      </c>
      <c r="O31" s="1">
        <f t="shared" si="5"/>
        <v>-100</v>
      </c>
      <c r="P31" s="3" t="s">
        <v>130</v>
      </c>
      <c r="Q31" s="1">
        <v>3306</v>
      </c>
      <c r="R31" s="1">
        <f t="shared" si="6"/>
        <v>-100</v>
      </c>
      <c r="S31" s="1">
        <v>22.57</v>
      </c>
      <c r="T31" s="1">
        <f t="shared" si="7"/>
        <v>-100</v>
      </c>
      <c r="U31" s="3">
        <v>8.1</v>
      </c>
      <c r="V31" s="1">
        <f t="shared" si="8"/>
        <v>-100</v>
      </c>
      <c r="W31" s="21">
        <f t="shared" si="9"/>
        <v>-100</v>
      </c>
    </row>
    <row r="32" spans="1:23" x14ac:dyDescent="0.3">
      <c r="A32" s="3">
        <v>7</v>
      </c>
      <c r="B32" s="3" t="s">
        <v>31</v>
      </c>
      <c r="C32" s="1">
        <v>1768</v>
      </c>
      <c r="D32" s="1">
        <f t="shared" si="0"/>
        <v>-100</v>
      </c>
      <c r="E32" s="1">
        <v>8.9</v>
      </c>
      <c r="F32" s="1">
        <f t="shared" si="1"/>
        <v>-100</v>
      </c>
      <c r="G32" s="3">
        <v>5.6</v>
      </c>
      <c r="H32" s="1">
        <f t="shared" si="2"/>
        <v>-100</v>
      </c>
      <c r="I32" s="3" t="s">
        <v>122</v>
      </c>
      <c r="J32" s="1">
        <v>2237</v>
      </c>
      <c r="K32" s="1">
        <f t="shared" si="3"/>
        <v>-100</v>
      </c>
      <c r="L32" s="1">
        <v>12.41</v>
      </c>
      <c r="M32" s="1">
        <f t="shared" si="4"/>
        <v>-100</v>
      </c>
      <c r="N32" s="3">
        <v>4.3</v>
      </c>
      <c r="O32" s="1">
        <f t="shared" si="5"/>
        <v>-100</v>
      </c>
      <c r="P32" s="3" t="s">
        <v>131</v>
      </c>
      <c r="Q32" s="1">
        <v>2719</v>
      </c>
      <c r="R32" s="1">
        <f t="shared" si="6"/>
        <v>-100</v>
      </c>
      <c r="S32" s="1">
        <v>22.042000000000002</v>
      </c>
      <c r="T32" s="1">
        <f t="shared" si="7"/>
        <v>-100</v>
      </c>
      <c r="U32" s="3">
        <v>4.7</v>
      </c>
      <c r="V32" s="1">
        <f t="shared" si="8"/>
        <v>-100</v>
      </c>
      <c r="W32" s="21">
        <f t="shared" si="9"/>
        <v>-100</v>
      </c>
    </row>
    <row r="33" spans="1:23" x14ac:dyDescent="0.3">
      <c r="A33" s="3">
        <v>8</v>
      </c>
      <c r="B33" s="3" t="s">
        <v>32</v>
      </c>
      <c r="C33" s="1">
        <v>1728</v>
      </c>
      <c r="D33" s="1">
        <f t="shared" si="0"/>
        <v>-100</v>
      </c>
      <c r="E33" s="1">
        <v>8.9019999999999992</v>
      </c>
      <c r="F33" s="1">
        <f t="shared" si="1"/>
        <v>-100</v>
      </c>
      <c r="G33" s="3">
        <v>7.2</v>
      </c>
      <c r="H33" s="1">
        <f t="shared" si="2"/>
        <v>-100</v>
      </c>
      <c r="I33" s="3" t="s">
        <v>123</v>
      </c>
      <c r="J33" s="1">
        <v>1828.1</v>
      </c>
      <c r="K33" s="1">
        <f t="shared" si="3"/>
        <v>-100</v>
      </c>
      <c r="L33" s="1">
        <v>12.02</v>
      </c>
      <c r="M33" s="1">
        <f t="shared" si="4"/>
        <v>-100</v>
      </c>
      <c r="N33" s="3">
        <v>10.8</v>
      </c>
      <c r="O33" s="1">
        <f t="shared" si="5"/>
        <v>-100</v>
      </c>
      <c r="P33" s="3" t="s">
        <v>132</v>
      </c>
      <c r="Q33" s="1">
        <v>2041.6</v>
      </c>
      <c r="R33" s="1">
        <f t="shared" si="6"/>
        <v>-100</v>
      </c>
      <c r="S33" s="1">
        <v>21.45</v>
      </c>
      <c r="T33" s="1">
        <f t="shared" si="7"/>
        <v>-100</v>
      </c>
      <c r="U33" s="3">
        <v>10.8</v>
      </c>
      <c r="V33" s="1">
        <f t="shared" si="8"/>
        <v>-100</v>
      </c>
      <c r="W33" s="21">
        <f t="shared" si="9"/>
        <v>-100</v>
      </c>
    </row>
    <row r="34" spans="1:23" x14ac:dyDescent="0.3">
      <c r="A34" s="3">
        <v>9</v>
      </c>
      <c r="B34" s="3" t="s">
        <v>33</v>
      </c>
      <c r="C34" s="1">
        <v>1357.8</v>
      </c>
      <c r="D34" s="1">
        <f t="shared" si="0"/>
        <v>-100</v>
      </c>
      <c r="E34" s="1">
        <v>8.9600000000000009</v>
      </c>
      <c r="F34" s="1">
        <f t="shared" si="1"/>
        <v>-100</v>
      </c>
      <c r="G34" s="3">
        <v>1.7250000000000001</v>
      </c>
      <c r="H34" s="1">
        <f t="shared" si="2"/>
        <v>-100</v>
      </c>
      <c r="I34" s="3" t="s">
        <v>124</v>
      </c>
      <c r="J34" s="1">
        <v>1234.93</v>
      </c>
      <c r="K34" s="1">
        <f t="shared" si="3"/>
        <v>-100</v>
      </c>
      <c r="L34" s="1">
        <v>10.5</v>
      </c>
      <c r="M34" s="1">
        <f t="shared" si="4"/>
        <v>-100</v>
      </c>
      <c r="N34" s="3">
        <v>1.629</v>
      </c>
      <c r="O34" s="1">
        <f t="shared" si="5"/>
        <v>-100</v>
      </c>
      <c r="P34" s="3" t="s">
        <v>133</v>
      </c>
      <c r="Q34" s="1">
        <v>1337.3</v>
      </c>
      <c r="R34" s="1">
        <f t="shared" si="6"/>
        <v>-100</v>
      </c>
      <c r="S34" s="1">
        <v>19.3</v>
      </c>
      <c r="T34" s="1">
        <f t="shared" si="7"/>
        <v>-100</v>
      </c>
      <c r="U34" s="3">
        <v>2.2709999999999999</v>
      </c>
      <c r="V34" s="1">
        <f t="shared" si="8"/>
        <v>-100</v>
      </c>
      <c r="W34" s="21">
        <f t="shared" si="9"/>
        <v>-100</v>
      </c>
    </row>
    <row r="35" spans="1:23" x14ac:dyDescent="0.3">
      <c r="A35" s="3">
        <v>10</v>
      </c>
      <c r="B35" s="3" t="s">
        <v>34</v>
      </c>
      <c r="C35" s="1">
        <v>692.68</v>
      </c>
      <c r="D35" s="1">
        <f t="shared" si="0"/>
        <v>-100</v>
      </c>
      <c r="E35" s="1">
        <v>7.133</v>
      </c>
      <c r="F35" s="1">
        <f t="shared" si="1"/>
        <v>-100</v>
      </c>
      <c r="G35" s="3">
        <v>6.06</v>
      </c>
      <c r="H35" s="1">
        <f t="shared" si="2"/>
        <v>-100</v>
      </c>
      <c r="I35" s="3" t="s">
        <v>125</v>
      </c>
      <c r="J35" s="1">
        <v>594.22</v>
      </c>
      <c r="K35" s="1">
        <f t="shared" si="3"/>
        <v>-100</v>
      </c>
      <c r="L35" s="1">
        <v>8.65</v>
      </c>
      <c r="M35" s="1">
        <f t="shared" si="4"/>
        <v>-100</v>
      </c>
      <c r="N35" s="3">
        <v>6.8</v>
      </c>
      <c r="O35" s="1">
        <f t="shared" si="5"/>
        <v>-100</v>
      </c>
      <c r="P35" s="3" t="s">
        <v>134</v>
      </c>
      <c r="Q35" s="1">
        <v>234.16</v>
      </c>
      <c r="R35" s="1">
        <f t="shared" si="6"/>
        <v>-100</v>
      </c>
      <c r="S35" s="1">
        <v>13.545999999999999</v>
      </c>
      <c r="T35" s="1">
        <f t="shared" si="7"/>
        <v>-100</v>
      </c>
      <c r="U35" s="3">
        <v>94.1</v>
      </c>
      <c r="V35" s="1">
        <f t="shared" si="8"/>
        <v>-100</v>
      </c>
      <c r="W35" s="21">
        <f t="shared" si="9"/>
        <v>-100</v>
      </c>
    </row>
    <row r="37" spans="1:23" x14ac:dyDescent="0.3">
      <c r="A37" s="57"/>
    </row>
    <row r="38" spans="1:23" x14ac:dyDescent="0.3">
      <c r="A38" s="3">
        <f>L2</f>
        <v>1</v>
      </c>
      <c r="B38" s="3" t="str">
        <f>VLOOKUP($A$38,$A$26:$U$35,2)</f>
        <v>Sc</v>
      </c>
      <c r="E38" s="3"/>
      <c r="F38" s="3"/>
      <c r="G38" s="3"/>
      <c r="H38" s="3"/>
      <c r="I38" s="3" t="str">
        <f>VLOOKUP($A$38,$A$26:$U$35,9)</f>
        <v>Y</v>
      </c>
      <c r="J38" s="3"/>
      <c r="K38" s="3"/>
      <c r="L38" s="3"/>
      <c r="M38" s="3"/>
      <c r="N38" s="3"/>
      <c r="O38" s="3"/>
      <c r="P38" s="3" t="str">
        <f>VLOOKUP($A$38,$A$26:$U$35,16)</f>
        <v>La</v>
      </c>
      <c r="Q38" s="3"/>
      <c r="R38" s="3"/>
      <c r="S38" s="3"/>
      <c r="T38" s="3"/>
      <c r="U38" s="3"/>
      <c r="V38" s="3"/>
    </row>
    <row r="40" spans="1:23" x14ac:dyDescent="0.3">
      <c r="E40" s="1" t="s">
        <v>152</v>
      </c>
      <c r="L40" s="23" t="s">
        <v>51</v>
      </c>
    </row>
    <row r="42" spans="1:23" x14ac:dyDescent="0.3">
      <c r="C42" s="3" t="s">
        <v>144</v>
      </c>
      <c r="D42" s="3">
        <f>L2</f>
        <v>1</v>
      </c>
      <c r="E42" s="1">
        <v>0</v>
      </c>
    </row>
    <row r="43" spans="1:23" x14ac:dyDescent="0.3">
      <c r="C43" s="3" t="s">
        <v>149</v>
      </c>
      <c r="D43" s="3">
        <f>L2</f>
        <v>1</v>
      </c>
      <c r="E43" s="1">
        <f>IF(L17=1,10,IF(L17=2,0.5,IF(L17=3,1)))</f>
        <v>10</v>
      </c>
    </row>
  </sheetData>
  <phoneticPr fontId="7" type="noConversion"/>
  <hyperlinks>
    <hyperlink ref="L40" r:id="rId1"/>
  </hyperlinks>
  <pageMargins left="0.75" right="0.75" top="1" bottom="1" header="0.5" footer="0.5"/>
  <pageSetup orientation="landscape" verticalDpi="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5" name="Check Box 18">
              <controlPr defaultSize="0" autoFill="0" autoLine="0" autoPict="0">
                <anchor moveWithCells="1">
                  <from>
                    <xdr:col>11</xdr:col>
                    <xdr:colOff>323850</xdr:colOff>
                    <xdr:row>17</xdr:row>
                    <xdr:rowOff>9525</xdr:rowOff>
                  </from>
                  <to>
                    <xdr:col>13</xdr:col>
                    <xdr:colOff>495300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Spinner 10">
              <controlPr defaultSize="0" autoPict="0">
                <anchor moveWithCells="1" sizeWithCells="1">
                  <from>
                    <xdr:col>12</xdr:col>
                    <xdr:colOff>76200</xdr:colOff>
                    <xdr:row>0</xdr:row>
                    <xdr:rowOff>28575</xdr:rowOff>
                  </from>
                  <to>
                    <xdr:col>12</xdr:col>
                    <xdr:colOff>295275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11</xdr:col>
                    <xdr:colOff>142875</xdr:colOff>
                    <xdr:row>8</xdr:row>
                    <xdr:rowOff>19050</xdr:rowOff>
                  </from>
                  <to>
                    <xdr:col>12</xdr:col>
                    <xdr:colOff>400050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11</xdr:col>
                    <xdr:colOff>142875</xdr:colOff>
                    <xdr:row>10</xdr:row>
                    <xdr:rowOff>19050</xdr:rowOff>
                  </from>
                  <to>
                    <xdr:col>12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11</xdr:col>
                    <xdr:colOff>142875</xdr:colOff>
                    <xdr:row>12</xdr:row>
                    <xdr:rowOff>19050</xdr:rowOff>
                  </from>
                  <to>
                    <xdr:col>12</xdr:col>
                    <xdr:colOff>400050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" name="Option Button 15">
              <controlPr defaultSize="0" autoFill="0" autoLine="0" autoPict="0">
                <anchor moveWithCells="1">
                  <from>
                    <xdr:col>11</xdr:col>
                    <xdr:colOff>161925</xdr:colOff>
                    <xdr:row>16</xdr:row>
                    <xdr:rowOff>38100</xdr:rowOff>
                  </from>
                  <to>
                    <xdr:col>13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Option Button 16">
              <controlPr defaultSize="0" autoFill="0" autoLine="0" autoPict="0">
                <anchor moveWithCells="1">
                  <from>
                    <xdr:col>11</xdr:col>
                    <xdr:colOff>161925</xdr:colOff>
                    <xdr:row>18</xdr:row>
                    <xdr:rowOff>9525</xdr:rowOff>
                  </from>
                  <to>
                    <xdr:col>13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11</xdr:col>
                    <xdr:colOff>161925</xdr:colOff>
                    <xdr:row>19</xdr:row>
                    <xdr:rowOff>161925</xdr:rowOff>
                  </from>
                  <to>
                    <xdr:col>13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intro</vt:lpstr>
      <vt:lpstr>atom properties</vt:lpstr>
      <vt:lpstr>ion properties</vt:lpstr>
      <vt:lpstr>electron properties</vt:lpstr>
      <vt:lpstr>group B metals</vt:lpstr>
    </vt:vector>
  </TitlesOfParts>
  <Company>Cat and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Sinex</dc:creator>
  <cp:lastModifiedBy>marti</cp:lastModifiedBy>
  <cp:lastPrinted>2006-10-09T10:05:13Z</cp:lastPrinted>
  <dcterms:created xsi:type="dcterms:W3CDTF">2006-07-09T19:51:15Z</dcterms:created>
  <dcterms:modified xsi:type="dcterms:W3CDTF">2016-10-24T23:26:35Z</dcterms:modified>
</cp:coreProperties>
</file>